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comments7.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g.dixmier\.ACHATS _\001_SEGMENTS\013_NDL\DAF_2025_000478_HOTEL BROGLIE STRASBOURG\003_DAF_2025_000478_VERSION MODIFIABLE\003_CCTP+ANNEXES\003_CCTP+ANNEXES\"/>
    </mc:Choice>
  </mc:AlternateContent>
  <workbookProtection workbookAlgorithmName="SHA-512" workbookHashValue="wQV7s/aLaQ1YExgJV76KwDdfJ6hRfTWMHdxifag9jhtmJRwmjxhyTmjaJfMi/Y4NVmJVWDQdfDPFW+xiiXDjYA==" workbookSaltValue="egFk1eTtbMQzlDjcq3V2xg==" workbookSpinCount="100000" lockStructure="1"/>
  <bookViews>
    <workbookView xWindow="0" yWindow="0" windowWidth="19200" windowHeight="7890" tabRatio="907"/>
  </bookViews>
  <sheets>
    <sheet name="ANX 1 - Légende - appd 2" sheetId="50" r:id="rId1"/>
    <sheet name="ANX 1 - Descrip locaux - appd 1" sheetId="27" r:id="rId2"/>
    <sheet name="Prest à la demande OCCA" sheetId="56" state="hidden" r:id="rId3"/>
    <sheet name="Prest à la demande HABI" sheetId="57" state="hidden" r:id="rId4"/>
    <sheet name="Coût à l'heure" sheetId="58" state="hidden" r:id="rId5"/>
    <sheet name="Montants" sheetId="60" state="hidden" r:id="rId6"/>
    <sheet name="ESTIMATION POUR CIM" sheetId="62" state="hidden" r:id="rId7"/>
    <sheet name="Type de locaux" sheetId="55" state="hidden" r:id="rId8"/>
    <sheet name="SYMBOLES" sheetId="64" state="hidden" r:id="rId9"/>
  </sheets>
  <externalReferences>
    <externalReference r:id="rId10"/>
    <externalReference r:id="rId11"/>
    <externalReference r:id="rId12"/>
    <externalReference r:id="rId13"/>
    <externalReference r:id="rId14"/>
  </externalReferences>
  <definedNames>
    <definedName name="_xlnm._FilterDatabase" localSheetId="1" hidden="1">'ANX 1 - Descrip locaux - appd 1'!$A$15:$X$80</definedName>
    <definedName name="_xlnm._FilterDatabase" localSheetId="3" hidden="1">'Prest à la demande HABI'!$B$13:$Y$23</definedName>
    <definedName name="_xlnm._FilterDatabase" localSheetId="2" hidden="1">'Prest à la demande OCCA'!$A$13:$AD$13</definedName>
    <definedName name="ENCOMBREMENT" localSheetId="6">#REF!</definedName>
    <definedName name="ENCOMBREMENT" localSheetId="5">#REF!</definedName>
    <definedName name="ENCOMBREMENT" localSheetId="3">#REF!</definedName>
    <definedName name="ENCOMBREMENT" localSheetId="2">#REF!</definedName>
    <definedName name="ENCOMBREMENT" localSheetId="8">#REF!</definedName>
    <definedName name="ENCOMBREMENT">#REF!</definedName>
    <definedName name="FREQUENCES" localSheetId="6">#REF!</definedName>
    <definedName name="FREQUENCES" localSheetId="5">#REF!</definedName>
    <definedName name="FREQUENCES" localSheetId="3">#REF!</definedName>
    <definedName name="FREQUENCES" localSheetId="2">#REF!</definedName>
    <definedName name="FREQUENCES" localSheetId="8">#REF!</definedName>
    <definedName name="FREQUENCES">#REF!</definedName>
    <definedName name="LOCAUX" localSheetId="6">#REF!</definedName>
    <definedName name="LOCAUX" localSheetId="5">#REF!</definedName>
    <definedName name="LOCAUX" localSheetId="3">#REF!</definedName>
    <definedName name="LOCAUX" localSheetId="2">#REF!</definedName>
    <definedName name="LOCAUX" localSheetId="8">#REF!</definedName>
    <definedName name="LOCAUX">#REF!</definedName>
    <definedName name="marge" localSheetId="4">[1]Montants!$F$54</definedName>
    <definedName name="marge" localSheetId="6">[2]Montants!$F$67</definedName>
    <definedName name="marge" localSheetId="5">Montants!$F$54</definedName>
    <definedName name="marge" localSheetId="3">[3]Montants!$F$54</definedName>
    <definedName name="marge" localSheetId="2">[3]Montants!$F$54</definedName>
    <definedName name="marge" localSheetId="8">[4]Montants!$F$54</definedName>
    <definedName name="marge">#REF!</definedName>
    <definedName name="SOL" localSheetId="6">#REF!</definedName>
    <definedName name="SOL" localSheetId="5">#REF!</definedName>
    <definedName name="SOL" localSheetId="3">#REF!</definedName>
    <definedName name="SOL" localSheetId="2">#REF!</definedName>
    <definedName name="SOL" localSheetId="8">#REF!</definedName>
    <definedName name="SOL">#REF!</definedName>
    <definedName name="TRAITEMENT" localSheetId="6">#REF!</definedName>
    <definedName name="TRAITEMENT" localSheetId="5">#REF!</definedName>
    <definedName name="TRAITEMENT" localSheetId="3">#REF!</definedName>
    <definedName name="TRAITEMENT" localSheetId="2">#REF!</definedName>
    <definedName name="TRAITEMENT" localSheetId="8">#REF!</definedName>
    <definedName name="TRAITEMENT">#REF!</definedName>
    <definedName name="VETUSTE" localSheetId="6">#REF!</definedName>
    <definedName name="VETUSTE" localSheetId="5">#REF!</definedName>
    <definedName name="VETUSTE" localSheetId="3">#REF!</definedName>
    <definedName name="VETUSTE" localSheetId="2">#REF!</definedName>
    <definedName name="VETUSTE" localSheetId="8">#REF!</definedName>
    <definedName name="VETUSTE">#REF!</definedName>
    <definedName name="Volume" localSheetId="6">#REF!</definedName>
    <definedName name="Volume" localSheetId="5">#REF!</definedName>
    <definedName name="Volume" localSheetId="3">#REF!</definedName>
    <definedName name="Volume" localSheetId="2">#REF!</definedName>
    <definedName name="Volume" localSheetId="8">#REF!</definedName>
    <definedName name="Volume">#REF!</definedName>
    <definedName name="_xlnm.Print_Area" localSheetId="4">'Coût à l''heure'!$B$2:$K$16</definedName>
  </definedNames>
  <calcPr calcId="162913"/>
</workbook>
</file>

<file path=xl/calcChain.xml><?xml version="1.0" encoding="utf-8"?>
<calcChain xmlns="http://schemas.openxmlformats.org/spreadsheetml/2006/main">
  <c r="O17" i="27" l="1"/>
  <c r="Q17" i="27"/>
  <c r="O18" i="27"/>
  <c r="Q18" i="27"/>
  <c r="O19" i="27"/>
  <c r="Q19" i="27"/>
  <c r="O20" i="27"/>
  <c r="Q20" i="27"/>
  <c r="O21" i="27"/>
  <c r="Q21" i="27"/>
  <c r="O22" i="27"/>
  <c r="Q22" i="27"/>
  <c r="O23" i="27"/>
  <c r="Q23" i="27"/>
  <c r="O24" i="27"/>
  <c r="Q24" i="27"/>
  <c r="O25" i="27"/>
  <c r="Q25" i="27"/>
  <c r="O26" i="27"/>
  <c r="Q26" i="27"/>
  <c r="O27" i="27"/>
  <c r="Q27" i="27"/>
  <c r="O28" i="27"/>
  <c r="Q28" i="27"/>
  <c r="O29" i="27"/>
  <c r="Q29" i="27"/>
  <c r="O30" i="27"/>
  <c r="Q30" i="27"/>
  <c r="O31" i="27"/>
  <c r="Q31" i="27"/>
  <c r="O32" i="27"/>
  <c r="Q32" i="27"/>
  <c r="O33" i="27"/>
  <c r="Q33" i="27"/>
  <c r="O34" i="27"/>
  <c r="Q34" i="27"/>
  <c r="O35" i="27"/>
  <c r="Q35" i="27"/>
  <c r="O36" i="27"/>
  <c r="Q36" i="27"/>
  <c r="O37" i="27"/>
  <c r="Q37" i="27"/>
  <c r="O38" i="27"/>
  <c r="Q38" i="27"/>
  <c r="O39" i="27"/>
  <c r="Q39" i="27"/>
  <c r="O40" i="27"/>
  <c r="Q40" i="27"/>
  <c r="O41" i="27"/>
  <c r="Q41" i="27"/>
  <c r="O42" i="27"/>
  <c r="Q42" i="27"/>
  <c r="O43" i="27"/>
  <c r="Q43" i="27"/>
  <c r="O44" i="27"/>
  <c r="Q44" i="27"/>
  <c r="O45" i="27"/>
  <c r="Q45" i="27"/>
  <c r="O46" i="27"/>
  <c r="Q46" i="27"/>
  <c r="O47" i="27"/>
  <c r="Q47" i="27"/>
  <c r="O48" i="27"/>
  <c r="Q48" i="27"/>
  <c r="O49" i="27"/>
  <c r="Q49" i="27"/>
  <c r="O50" i="27"/>
  <c r="Q50" i="27"/>
  <c r="O51" i="27"/>
  <c r="Q51" i="27"/>
  <c r="O52" i="27"/>
  <c r="Q52" i="27"/>
  <c r="O53" i="27"/>
  <c r="Q53" i="27"/>
  <c r="O54" i="27"/>
  <c r="Q54" i="27"/>
  <c r="O55" i="27"/>
  <c r="Q55" i="27"/>
  <c r="O56" i="27"/>
  <c r="Q56" i="27"/>
  <c r="O57" i="27"/>
  <c r="Q57" i="27"/>
  <c r="O58" i="27"/>
  <c r="Q58" i="27"/>
  <c r="O59" i="27"/>
  <c r="Q59" i="27"/>
  <c r="O60" i="27"/>
  <c r="Q60" i="27"/>
  <c r="O61" i="27"/>
  <c r="Q61" i="27"/>
  <c r="O62" i="27"/>
  <c r="Q62" i="27"/>
  <c r="O63" i="27"/>
  <c r="Q63" i="27"/>
  <c r="O64" i="27"/>
  <c r="Q64" i="27"/>
  <c r="O65" i="27"/>
  <c r="Q65" i="27"/>
  <c r="O66" i="27"/>
  <c r="Q66" i="27"/>
  <c r="O67" i="27"/>
  <c r="Q67" i="27"/>
  <c r="O68" i="27"/>
  <c r="Q68" i="27"/>
  <c r="O69" i="27"/>
  <c r="Q69" i="27"/>
  <c r="O70" i="27"/>
  <c r="Q70" i="27"/>
  <c r="O71" i="27"/>
  <c r="Q71" i="27"/>
  <c r="O72" i="27"/>
  <c r="Q72" i="27"/>
  <c r="O73" i="27"/>
  <c r="Q73" i="27"/>
  <c r="O74" i="27"/>
  <c r="Q74" i="27"/>
  <c r="O75" i="27"/>
  <c r="Q75" i="27"/>
  <c r="O76" i="27"/>
  <c r="Q76" i="27"/>
  <c r="O77" i="27"/>
  <c r="Q77" i="27"/>
  <c r="O78" i="27"/>
  <c r="Q78" i="27"/>
  <c r="O79" i="27"/>
  <c r="Q79" i="27"/>
  <c r="O80" i="27"/>
  <c r="Q80" i="27"/>
  <c r="Q16" i="27"/>
  <c r="O16" i="27"/>
  <c r="AB6" i="56" l="1"/>
  <c r="Y6" i="56"/>
  <c r="U6" i="56"/>
  <c r="T6" i="56"/>
  <c r="P6" i="56"/>
  <c r="L6" i="56"/>
  <c r="I6" i="57"/>
  <c r="H6" i="57"/>
  <c r="M6" i="56"/>
  <c r="M14" i="57" l="1"/>
  <c r="L14" i="57"/>
  <c r="I14" i="57"/>
  <c r="H14" i="57"/>
  <c r="E21" i="57"/>
  <c r="H21" i="57"/>
  <c r="I21" i="57"/>
  <c r="L21" i="57"/>
  <c r="M21" i="57"/>
  <c r="P21" i="57"/>
  <c r="Q21" i="57"/>
  <c r="T21" i="57"/>
  <c r="U21" i="57"/>
  <c r="X21" i="57"/>
  <c r="Y21" i="57"/>
  <c r="AB21" i="57"/>
  <c r="AC21" i="57"/>
  <c r="E22" i="57"/>
  <c r="H22" i="57"/>
  <c r="I22" i="57"/>
  <c r="L22" i="57"/>
  <c r="M22" i="57"/>
  <c r="P22" i="57"/>
  <c r="Q22" i="57"/>
  <c r="T22" i="57"/>
  <c r="U22" i="57"/>
  <c r="X22" i="57"/>
  <c r="Y22" i="57"/>
  <c r="AB22" i="57"/>
  <c r="AC22" i="57"/>
  <c r="E23" i="57"/>
  <c r="H23" i="57"/>
  <c r="I23" i="57"/>
  <c r="L23" i="57"/>
  <c r="M23" i="57"/>
  <c r="P23" i="57"/>
  <c r="Q23" i="57"/>
  <c r="T23" i="57"/>
  <c r="U23" i="57"/>
  <c r="X23" i="57"/>
  <c r="Y23" i="57"/>
  <c r="AB23" i="57"/>
  <c r="AC23" i="57"/>
  <c r="AC14" i="57"/>
  <c r="AC6" i="57" s="1"/>
  <c r="AB14" i="57"/>
  <c r="AB15" i="57"/>
  <c r="AC15" i="57"/>
  <c r="AB16" i="57"/>
  <c r="AC16" i="57"/>
  <c r="AB17" i="57"/>
  <c r="AC17" i="57"/>
  <c r="AB18" i="57"/>
  <c r="AC18" i="57"/>
  <c r="AB19" i="57"/>
  <c r="AC19" i="57"/>
  <c r="AB20" i="57"/>
  <c r="AC20" i="57"/>
  <c r="Y14" i="57"/>
  <c r="X14" i="57"/>
  <c r="X15" i="57"/>
  <c r="Y15" i="57"/>
  <c r="X16" i="57"/>
  <c r="Y16" i="57"/>
  <c r="X17" i="57"/>
  <c r="Y17" i="57"/>
  <c r="X18" i="57"/>
  <c r="Y18" i="57"/>
  <c r="X19" i="57"/>
  <c r="Y19" i="57"/>
  <c r="X20" i="57"/>
  <c r="Y20" i="57"/>
  <c r="U14" i="57"/>
  <c r="U6" i="57" s="1"/>
  <c r="T14" i="57"/>
  <c r="T15" i="57"/>
  <c r="U15" i="57"/>
  <c r="T16" i="57"/>
  <c r="U16" i="57"/>
  <c r="T17" i="57"/>
  <c r="U17" i="57"/>
  <c r="T18" i="57"/>
  <c r="U18" i="57"/>
  <c r="T19" i="57"/>
  <c r="U19" i="57"/>
  <c r="T20" i="57"/>
  <c r="U20" i="57"/>
  <c r="Q14" i="57"/>
  <c r="P14" i="57"/>
  <c r="P15" i="57"/>
  <c r="Q15" i="57"/>
  <c r="P16" i="57"/>
  <c r="Q16" i="57"/>
  <c r="P17" i="57"/>
  <c r="Q17" i="57"/>
  <c r="P18" i="57"/>
  <c r="Q18" i="57"/>
  <c r="P19" i="57"/>
  <c r="Q19" i="57"/>
  <c r="P20" i="57"/>
  <c r="Q20" i="57"/>
  <c r="L15" i="57"/>
  <c r="M15" i="57"/>
  <c r="L16" i="57"/>
  <c r="M16" i="57"/>
  <c r="L17" i="57"/>
  <c r="M17" i="57"/>
  <c r="L18" i="57"/>
  <c r="M18" i="57"/>
  <c r="L19" i="57"/>
  <c r="M19" i="57"/>
  <c r="L20" i="57"/>
  <c r="M20" i="57"/>
  <c r="H15" i="57"/>
  <c r="I15" i="57"/>
  <c r="H16" i="57"/>
  <c r="I16" i="57"/>
  <c r="H17" i="57"/>
  <c r="I17" i="57"/>
  <c r="H18" i="57"/>
  <c r="I18" i="57"/>
  <c r="H19" i="57"/>
  <c r="I19" i="57"/>
  <c r="H20" i="57"/>
  <c r="I20" i="57"/>
  <c r="I26" i="56"/>
  <c r="M27" i="56"/>
  <c r="Q26" i="56"/>
  <c r="U25" i="56"/>
  <c r="Y25" i="56"/>
  <c r="AC24" i="56"/>
  <c r="AB24" i="56"/>
  <c r="X24" i="56"/>
  <c r="T24" i="56"/>
  <c r="P24" i="56"/>
  <c r="L14" i="56"/>
  <c r="H14" i="56"/>
  <c r="P6" i="57" l="1"/>
  <c r="X6" i="57"/>
  <c r="Q6" i="57"/>
  <c r="Y6" i="57"/>
  <c r="L6" i="57"/>
  <c r="T6" i="57"/>
  <c r="AB6" i="57"/>
  <c r="M6" i="57"/>
  <c r="J37" i="27"/>
  <c r="T18" i="62" l="1"/>
  <c r="F18" i="62" l="1"/>
  <c r="H2" i="62" l="1"/>
  <c r="E2" i="62"/>
  <c r="E18" i="62"/>
  <c r="J18" i="62" s="1"/>
  <c r="G18" i="62" l="1"/>
  <c r="H18" i="62" s="1"/>
  <c r="N18" i="62"/>
  <c r="I70" i="60"/>
  <c r="L70" i="60" s="1"/>
  <c r="I69" i="60"/>
  <c r="I68" i="60"/>
  <c r="I66" i="60"/>
  <c r="I65" i="60"/>
  <c r="L65" i="60" s="1"/>
  <c r="I63" i="60"/>
  <c r="I59" i="60"/>
  <c r="L59" i="60" s="1"/>
  <c r="I45" i="60"/>
  <c r="L45" i="60" s="1"/>
  <c r="I44" i="60"/>
  <c r="I43" i="60"/>
  <c r="I41" i="60"/>
  <c r="I40" i="60"/>
  <c r="L40" i="60" s="1"/>
  <c r="I38" i="60"/>
  <c r="I34" i="60"/>
  <c r="B25" i="60"/>
  <c r="B50" i="60" s="1"/>
  <c r="E59" i="60"/>
  <c r="D59" i="60"/>
  <c r="F54" i="60"/>
  <c r="E34" i="60"/>
  <c r="D34" i="60"/>
  <c r="L12" i="60"/>
  <c r="L6" i="60"/>
  <c r="L5" i="60"/>
  <c r="L4" i="60"/>
  <c r="C7" i="58"/>
  <c r="C12" i="58" s="1"/>
  <c r="C14" i="58" s="1"/>
  <c r="C8" i="57"/>
  <c r="B8" i="57"/>
  <c r="AA6" i="57"/>
  <c r="W6" i="57"/>
  <c r="S6" i="57"/>
  <c r="O6" i="57"/>
  <c r="K6" i="57"/>
  <c r="G6" i="57"/>
  <c r="C8" i="56"/>
  <c r="B8" i="56"/>
  <c r="AC68" i="56"/>
  <c r="AB68" i="56"/>
  <c r="Y68" i="56"/>
  <c r="X68" i="56"/>
  <c r="U68" i="56"/>
  <c r="T68" i="56"/>
  <c r="Q68" i="56"/>
  <c r="P68" i="56"/>
  <c r="M68" i="56"/>
  <c r="L68" i="56"/>
  <c r="I68" i="56"/>
  <c r="H68" i="56"/>
  <c r="E68" i="56"/>
  <c r="AC67" i="56"/>
  <c r="AB67" i="56"/>
  <c r="Y67" i="56"/>
  <c r="X67" i="56"/>
  <c r="U67" i="56"/>
  <c r="T67" i="56"/>
  <c r="Q67" i="56"/>
  <c r="P67" i="56"/>
  <c r="M67" i="56"/>
  <c r="L67" i="56"/>
  <c r="I67" i="56"/>
  <c r="H67" i="56"/>
  <c r="E67" i="56"/>
  <c r="AC66" i="56"/>
  <c r="AB66" i="56"/>
  <c r="Y66" i="56"/>
  <c r="X66" i="56"/>
  <c r="U66" i="56"/>
  <c r="T66" i="56"/>
  <c r="Q66" i="56"/>
  <c r="P66" i="56"/>
  <c r="M66" i="56"/>
  <c r="L66" i="56"/>
  <c r="I66" i="56"/>
  <c r="H66" i="56"/>
  <c r="E66" i="56"/>
  <c r="AC65" i="56"/>
  <c r="AB65" i="56"/>
  <c r="Y65" i="56"/>
  <c r="X65" i="56"/>
  <c r="U65" i="56"/>
  <c r="T65" i="56"/>
  <c r="Q65" i="56"/>
  <c r="P65" i="56"/>
  <c r="M65" i="56"/>
  <c r="L65" i="56"/>
  <c r="I65" i="56"/>
  <c r="H65" i="56"/>
  <c r="E65" i="56"/>
  <c r="AC64" i="56"/>
  <c r="AB64" i="56"/>
  <c r="Y64" i="56"/>
  <c r="X64" i="56"/>
  <c r="U64" i="56"/>
  <c r="T64" i="56"/>
  <c r="Q64" i="56"/>
  <c r="P64" i="56"/>
  <c r="M64" i="56"/>
  <c r="L64" i="56"/>
  <c r="I64" i="56"/>
  <c r="H64" i="56"/>
  <c r="E64" i="56"/>
  <c r="AC63" i="56"/>
  <c r="AB63" i="56"/>
  <c r="Y63" i="56"/>
  <c r="X63" i="56"/>
  <c r="U63" i="56"/>
  <c r="T63" i="56"/>
  <c r="Q63" i="56"/>
  <c r="P63" i="56"/>
  <c r="M63" i="56"/>
  <c r="L63" i="56"/>
  <c r="I63" i="56"/>
  <c r="H63" i="56"/>
  <c r="E63" i="56"/>
  <c r="AC62" i="56"/>
  <c r="AB62" i="56"/>
  <c r="Y62" i="56"/>
  <c r="X62" i="56"/>
  <c r="U62" i="56"/>
  <c r="T62" i="56"/>
  <c r="Q62" i="56"/>
  <c r="P62" i="56"/>
  <c r="M62" i="56"/>
  <c r="L62" i="56"/>
  <c r="I62" i="56"/>
  <c r="H62" i="56"/>
  <c r="E62" i="56"/>
  <c r="AC61" i="56"/>
  <c r="AB61" i="56"/>
  <c r="Y61" i="56"/>
  <c r="X61" i="56"/>
  <c r="U61" i="56"/>
  <c r="T61" i="56"/>
  <c r="Q61" i="56"/>
  <c r="P61" i="56"/>
  <c r="M61" i="56"/>
  <c r="L61" i="56"/>
  <c r="I61" i="56"/>
  <c r="H61" i="56"/>
  <c r="E61" i="56"/>
  <c r="AC60" i="56"/>
  <c r="AB60" i="56"/>
  <c r="Y60" i="56"/>
  <c r="X60" i="56"/>
  <c r="U60" i="56"/>
  <c r="T60" i="56"/>
  <c r="Q60" i="56"/>
  <c r="P60" i="56"/>
  <c r="M60" i="56"/>
  <c r="L60" i="56"/>
  <c r="I60" i="56"/>
  <c r="H60" i="56"/>
  <c r="E60" i="56"/>
  <c r="AC59" i="56"/>
  <c r="AB59" i="56"/>
  <c r="Y59" i="56"/>
  <c r="X59" i="56"/>
  <c r="U59" i="56"/>
  <c r="T59" i="56"/>
  <c r="Q59" i="56"/>
  <c r="P59" i="56"/>
  <c r="M59" i="56"/>
  <c r="L59" i="56"/>
  <c r="I59" i="56"/>
  <c r="H59" i="56"/>
  <c r="E59" i="56"/>
  <c r="AC58" i="56"/>
  <c r="AB58" i="56"/>
  <c r="Y58" i="56"/>
  <c r="X58" i="56"/>
  <c r="U58" i="56"/>
  <c r="T58" i="56"/>
  <c r="Q58" i="56"/>
  <c r="P58" i="56"/>
  <c r="M58" i="56"/>
  <c r="L58" i="56"/>
  <c r="I58" i="56"/>
  <c r="H58" i="56"/>
  <c r="E58" i="56"/>
  <c r="AC57" i="56"/>
  <c r="AB57" i="56"/>
  <c r="Y57" i="56"/>
  <c r="X57" i="56"/>
  <c r="U57" i="56"/>
  <c r="T57" i="56"/>
  <c r="Q57" i="56"/>
  <c r="P57" i="56"/>
  <c r="M57" i="56"/>
  <c r="L57" i="56"/>
  <c r="I57" i="56"/>
  <c r="H57" i="56"/>
  <c r="E57" i="56"/>
  <c r="AC56" i="56"/>
  <c r="AB56" i="56"/>
  <c r="Y56" i="56"/>
  <c r="X56" i="56"/>
  <c r="U56" i="56"/>
  <c r="T56" i="56"/>
  <c r="Q56" i="56"/>
  <c r="P56" i="56"/>
  <c r="M56" i="56"/>
  <c r="L56" i="56"/>
  <c r="I56" i="56"/>
  <c r="H56" i="56"/>
  <c r="E56" i="56"/>
  <c r="AC55" i="56"/>
  <c r="AB55" i="56"/>
  <c r="Y55" i="56"/>
  <c r="X55" i="56"/>
  <c r="U55" i="56"/>
  <c r="T55" i="56"/>
  <c r="Q55" i="56"/>
  <c r="P55" i="56"/>
  <c r="M55" i="56"/>
  <c r="L55" i="56"/>
  <c r="I55" i="56"/>
  <c r="H55" i="56"/>
  <c r="E55" i="56"/>
  <c r="AC54" i="56"/>
  <c r="AB54" i="56"/>
  <c r="Y54" i="56"/>
  <c r="X54" i="56"/>
  <c r="U54" i="56"/>
  <c r="T54" i="56"/>
  <c r="Q54" i="56"/>
  <c r="P54" i="56"/>
  <c r="M54" i="56"/>
  <c r="L54" i="56"/>
  <c r="I54" i="56"/>
  <c r="H54" i="56"/>
  <c r="E54" i="56"/>
  <c r="AC53" i="56"/>
  <c r="AB53" i="56"/>
  <c r="Y53" i="56"/>
  <c r="X53" i="56"/>
  <c r="U53" i="56"/>
  <c r="T53" i="56"/>
  <c r="Q53" i="56"/>
  <c r="P53" i="56"/>
  <c r="M53" i="56"/>
  <c r="L53" i="56"/>
  <c r="I53" i="56"/>
  <c r="H53" i="56"/>
  <c r="E53" i="56"/>
  <c r="AC52" i="56"/>
  <c r="AB52" i="56"/>
  <c r="Y52" i="56"/>
  <c r="X52" i="56"/>
  <c r="U52" i="56"/>
  <c r="T52" i="56"/>
  <c r="Q52" i="56"/>
  <c r="P52" i="56"/>
  <c r="M52" i="56"/>
  <c r="L52" i="56"/>
  <c r="I52" i="56"/>
  <c r="H52" i="56"/>
  <c r="E52" i="56"/>
  <c r="AC51" i="56"/>
  <c r="AB51" i="56"/>
  <c r="Y51" i="56"/>
  <c r="X51" i="56"/>
  <c r="U51" i="56"/>
  <c r="T51" i="56"/>
  <c r="Q51" i="56"/>
  <c r="P51" i="56"/>
  <c r="M51" i="56"/>
  <c r="L51" i="56"/>
  <c r="I51" i="56"/>
  <c r="H51" i="56"/>
  <c r="E51" i="56"/>
  <c r="AC50" i="56"/>
  <c r="AB50" i="56"/>
  <c r="Y50" i="56"/>
  <c r="X50" i="56"/>
  <c r="U50" i="56"/>
  <c r="T50" i="56"/>
  <c r="Q50" i="56"/>
  <c r="P50" i="56"/>
  <c r="M50" i="56"/>
  <c r="L50" i="56"/>
  <c r="I50" i="56"/>
  <c r="H50" i="56"/>
  <c r="E50" i="56"/>
  <c r="AC49" i="56"/>
  <c r="AB49" i="56"/>
  <c r="Y49" i="56"/>
  <c r="X49" i="56"/>
  <c r="U49" i="56"/>
  <c r="T49" i="56"/>
  <c r="Q49" i="56"/>
  <c r="P49" i="56"/>
  <c r="M49" i="56"/>
  <c r="L49" i="56"/>
  <c r="I49" i="56"/>
  <c r="H49" i="56"/>
  <c r="E49" i="56"/>
  <c r="AC48" i="56"/>
  <c r="AB48" i="56"/>
  <c r="Y48" i="56"/>
  <c r="X48" i="56"/>
  <c r="U48" i="56"/>
  <c r="T48" i="56"/>
  <c r="Q48" i="56"/>
  <c r="P48" i="56"/>
  <c r="M48" i="56"/>
  <c r="L48" i="56"/>
  <c r="I48" i="56"/>
  <c r="H48" i="56"/>
  <c r="E48" i="56"/>
  <c r="AC47" i="56"/>
  <c r="AB47" i="56"/>
  <c r="Y47" i="56"/>
  <c r="X47" i="56"/>
  <c r="U47" i="56"/>
  <c r="T47" i="56"/>
  <c r="Q47" i="56"/>
  <c r="P47" i="56"/>
  <c r="M47" i="56"/>
  <c r="L47" i="56"/>
  <c r="I47" i="56"/>
  <c r="H47" i="56"/>
  <c r="E47" i="56"/>
  <c r="AC46" i="56"/>
  <c r="AB46" i="56"/>
  <c r="Y46" i="56"/>
  <c r="X46" i="56"/>
  <c r="U46" i="56"/>
  <c r="T46" i="56"/>
  <c r="Q46" i="56"/>
  <c r="P46" i="56"/>
  <c r="M46" i="56"/>
  <c r="L46" i="56"/>
  <c r="I46" i="56"/>
  <c r="H46" i="56"/>
  <c r="E46" i="56"/>
  <c r="AC45" i="56"/>
  <c r="AB45" i="56"/>
  <c r="Y45" i="56"/>
  <c r="X45" i="56"/>
  <c r="U45" i="56"/>
  <c r="T45" i="56"/>
  <c r="Q45" i="56"/>
  <c r="P45" i="56"/>
  <c r="M45" i="56"/>
  <c r="L45" i="56"/>
  <c r="I45" i="56"/>
  <c r="H45" i="56"/>
  <c r="E45" i="56"/>
  <c r="AC44" i="56"/>
  <c r="AB44" i="56"/>
  <c r="Y44" i="56"/>
  <c r="X44" i="56"/>
  <c r="U44" i="56"/>
  <c r="T44" i="56"/>
  <c r="Q44" i="56"/>
  <c r="P44" i="56"/>
  <c r="M44" i="56"/>
  <c r="L44" i="56"/>
  <c r="I44" i="56"/>
  <c r="H44" i="56"/>
  <c r="E44" i="56"/>
  <c r="AC43" i="56"/>
  <c r="AB43" i="56"/>
  <c r="Y43" i="56"/>
  <c r="X43" i="56"/>
  <c r="U43" i="56"/>
  <c r="T43" i="56"/>
  <c r="Q43" i="56"/>
  <c r="P43" i="56"/>
  <c r="M43" i="56"/>
  <c r="L43" i="56"/>
  <c r="I43" i="56"/>
  <c r="H43" i="56"/>
  <c r="E43" i="56"/>
  <c r="AC42" i="56"/>
  <c r="AB42" i="56"/>
  <c r="Y42" i="56"/>
  <c r="X42" i="56"/>
  <c r="U42" i="56"/>
  <c r="T42" i="56"/>
  <c r="Q42" i="56"/>
  <c r="P42" i="56"/>
  <c r="M42" i="56"/>
  <c r="L42" i="56"/>
  <c r="I42" i="56"/>
  <c r="H42" i="56"/>
  <c r="E42" i="56"/>
  <c r="AC41" i="56"/>
  <c r="AB41" i="56"/>
  <c r="Y41" i="56"/>
  <c r="X41" i="56"/>
  <c r="U41" i="56"/>
  <c r="T41" i="56"/>
  <c r="Q41" i="56"/>
  <c r="P41" i="56"/>
  <c r="M41" i="56"/>
  <c r="L41" i="56"/>
  <c r="I41" i="56"/>
  <c r="H41" i="56"/>
  <c r="E41" i="56"/>
  <c r="AC40" i="56"/>
  <c r="AB40" i="56"/>
  <c r="Y40" i="56"/>
  <c r="X40" i="56"/>
  <c r="U40" i="56"/>
  <c r="T40" i="56"/>
  <c r="Q40" i="56"/>
  <c r="P40" i="56"/>
  <c r="M40" i="56"/>
  <c r="L40" i="56"/>
  <c r="I40" i="56"/>
  <c r="H40" i="56"/>
  <c r="E40" i="56"/>
  <c r="AC39" i="56"/>
  <c r="AB39" i="56"/>
  <c r="Y39" i="56"/>
  <c r="X39" i="56"/>
  <c r="U39" i="56"/>
  <c r="T39" i="56"/>
  <c r="Q39" i="56"/>
  <c r="P39" i="56"/>
  <c r="M39" i="56"/>
  <c r="L39" i="56"/>
  <c r="I39" i="56"/>
  <c r="H39" i="56"/>
  <c r="E39" i="56"/>
  <c r="AC38" i="56"/>
  <c r="AB38" i="56"/>
  <c r="Y38" i="56"/>
  <c r="X38" i="56"/>
  <c r="U38" i="56"/>
  <c r="T38" i="56"/>
  <c r="Q38" i="56"/>
  <c r="P38" i="56"/>
  <c r="M38" i="56"/>
  <c r="L38" i="56"/>
  <c r="I38" i="56"/>
  <c r="H38" i="56"/>
  <c r="E38" i="56"/>
  <c r="AC37" i="56"/>
  <c r="AB37" i="56"/>
  <c r="Y37" i="56"/>
  <c r="X37" i="56"/>
  <c r="U37" i="56"/>
  <c r="T37" i="56"/>
  <c r="Q37" i="56"/>
  <c r="P37" i="56"/>
  <c r="M37" i="56"/>
  <c r="L37" i="56"/>
  <c r="I37" i="56"/>
  <c r="H37" i="56"/>
  <c r="E37" i="56"/>
  <c r="AC36" i="56"/>
  <c r="AB36" i="56"/>
  <c r="Y36" i="56"/>
  <c r="X36" i="56"/>
  <c r="U36" i="56"/>
  <c r="T36" i="56"/>
  <c r="Q36" i="56"/>
  <c r="P36" i="56"/>
  <c r="M36" i="56"/>
  <c r="L36" i="56"/>
  <c r="I36" i="56"/>
  <c r="H36" i="56"/>
  <c r="E36" i="56"/>
  <c r="AC35" i="56"/>
  <c r="AB35" i="56"/>
  <c r="Y35" i="56"/>
  <c r="X35" i="56"/>
  <c r="U35" i="56"/>
  <c r="T35" i="56"/>
  <c r="Q35" i="56"/>
  <c r="P35" i="56"/>
  <c r="M35" i="56"/>
  <c r="L35" i="56"/>
  <c r="I35" i="56"/>
  <c r="H35" i="56"/>
  <c r="E35" i="56"/>
  <c r="AC34" i="56"/>
  <c r="AB34" i="56"/>
  <c r="Y34" i="56"/>
  <c r="X34" i="56"/>
  <c r="U34" i="56"/>
  <c r="T34" i="56"/>
  <c r="Q34" i="56"/>
  <c r="P34" i="56"/>
  <c r="M34" i="56"/>
  <c r="L34" i="56"/>
  <c r="I34" i="56"/>
  <c r="H34" i="56"/>
  <c r="E34" i="56"/>
  <c r="AC33" i="56"/>
  <c r="AB33" i="56"/>
  <c r="Y33" i="56"/>
  <c r="X33" i="56"/>
  <c r="U33" i="56"/>
  <c r="T33" i="56"/>
  <c r="Q33" i="56"/>
  <c r="P33" i="56"/>
  <c r="M33" i="56"/>
  <c r="L33" i="56"/>
  <c r="I33" i="56"/>
  <c r="H33" i="56"/>
  <c r="E33" i="56"/>
  <c r="AC32" i="56"/>
  <c r="AB32" i="56"/>
  <c r="Y32" i="56"/>
  <c r="X32" i="56"/>
  <c r="U32" i="56"/>
  <c r="T32" i="56"/>
  <c r="Q32" i="56"/>
  <c r="P32" i="56"/>
  <c r="M32" i="56"/>
  <c r="L32" i="56"/>
  <c r="I32" i="56"/>
  <c r="H32" i="56"/>
  <c r="E32" i="56"/>
  <c r="AC31" i="56"/>
  <c r="AB31" i="56"/>
  <c r="Y31" i="56"/>
  <c r="X31" i="56"/>
  <c r="U31" i="56"/>
  <c r="T31" i="56"/>
  <c r="Q31" i="56"/>
  <c r="P31" i="56"/>
  <c r="M31" i="56"/>
  <c r="L31" i="56"/>
  <c r="I31" i="56"/>
  <c r="H31" i="56"/>
  <c r="E31" i="56"/>
  <c r="AC30" i="56"/>
  <c r="AB30" i="56"/>
  <c r="Y30" i="56"/>
  <c r="X30" i="56"/>
  <c r="U30" i="56"/>
  <c r="T30" i="56"/>
  <c r="Q30" i="56"/>
  <c r="P30" i="56"/>
  <c r="M30" i="56"/>
  <c r="L30" i="56"/>
  <c r="I30" i="56"/>
  <c r="H30" i="56"/>
  <c r="E30" i="56"/>
  <c r="AC29" i="56"/>
  <c r="AB29" i="56"/>
  <c r="Y29" i="56"/>
  <c r="X29" i="56"/>
  <c r="U29" i="56"/>
  <c r="T29" i="56"/>
  <c r="Q29" i="56"/>
  <c r="P29" i="56"/>
  <c r="M29" i="56"/>
  <c r="L29" i="56"/>
  <c r="I29" i="56"/>
  <c r="H29" i="56"/>
  <c r="E29" i="56"/>
  <c r="AC28" i="56"/>
  <c r="AB28" i="56"/>
  <c r="Y28" i="56"/>
  <c r="X28" i="56"/>
  <c r="U28" i="56"/>
  <c r="T28" i="56"/>
  <c r="Q28" i="56"/>
  <c r="P28" i="56"/>
  <c r="M28" i="56"/>
  <c r="L28" i="56"/>
  <c r="I28" i="56"/>
  <c r="H28" i="56"/>
  <c r="E28" i="56"/>
  <c r="AC27" i="56"/>
  <c r="AB27" i="56"/>
  <c r="Y27" i="56"/>
  <c r="X27" i="56"/>
  <c r="U27" i="56"/>
  <c r="T27" i="56"/>
  <c r="Q27" i="56"/>
  <c r="P27" i="56"/>
  <c r="L27" i="56"/>
  <c r="I27" i="56"/>
  <c r="H27" i="56"/>
  <c r="E27" i="56"/>
  <c r="AC26" i="56"/>
  <c r="AB26" i="56"/>
  <c r="Y26" i="56"/>
  <c r="X26" i="56"/>
  <c r="U26" i="56"/>
  <c r="T26" i="56"/>
  <c r="P26" i="56"/>
  <c r="M26" i="56"/>
  <c r="L26" i="56"/>
  <c r="H26" i="56"/>
  <c r="E26" i="56"/>
  <c r="AC25" i="56"/>
  <c r="AB25" i="56"/>
  <c r="X25" i="56"/>
  <c r="T25" i="56"/>
  <c r="Q25" i="56"/>
  <c r="P25" i="56"/>
  <c r="M25" i="56"/>
  <c r="L25" i="56"/>
  <c r="I25" i="56"/>
  <c r="H25" i="56"/>
  <c r="E25" i="56"/>
  <c r="Y24" i="56"/>
  <c r="U24" i="56"/>
  <c r="Q24" i="56"/>
  <c r="M24" i="56"/>
  <c r="L24" i="56"/>
  <c r="I24" i="56"/>
  <c r="H24" i="56"/>
  <c r="E24" i="56"/>
  <c r="AC23" i="56"/>
  <c r="AB23" i="56"/>
  <c r="Y23" i="56"/>
  <c r="X23" i="56"/>
  <c r="U23" i="56"/>
  <c r="T23" i="56"/>
  <c r="Q23" i="56"/>
  <c r="P23" i="56"/>
  <c r="M23" i="56"/>
  <c r="L23" i="56"/>
  <c r="I23" i="56"/>
  <c r="H23" i="56"/>
  <c r="E23" i="56"/>
  <c r="AC22" i="56"/>
  <c r="AB22" i="56"/>
  <c r="Y22" i="56"/>
  <c r="X22" i="56"/>
  <c r="U22" i="56"/>
  <c r="T22" i="56"/>
  <c r="Q22" i="56"/>
  <c r="P22" i="56"/>
  <c r="M22" i="56"/>
  <c r="L22" i="56"/>
  <c r="I22" i="56"/>
  <c r="H22" i="56"/>
  <c r="E22" i="56"/>
  <c r="AC21" i="56"/>
  <c r="AB21" i="56"/>
  <c r="Y21" i="56"/>
  <c r="X21" i="56"/>
  <c r="U21" i="56"/>
  <c r="T21" i="56"/>
  <c r="Q21" i="56"/>
  <c r="P21" i="56"/>
  <c r="M21" i="56"/>
  <c r="L21" i="56"/>
  <c r="I21" i="56"/>
  <c r="H21" i="56"/>
  <c r="E21" i="56"/>
  <c r="AC20" i="56"/>
  <c r="AB20" i="56"/>
  <c r="Y20" i="56"/>
  <c r="X20" i="56"/>
  <c r="U20" i="56"/>
  <c r="T20" i="56"/>
  <c r="Q20" i="56"/>
  <c r="P20" i="56"/>
  <c r="M20" i="56"/>
  <c r="L20" i="56"/>
  <c r="I20" i="56"/>
  <c r="H20" i="56"/>
  <c r="E20" i="56"/>
  <c r="AC19" i="56"/>
  <c r="AB19" i="56"/>
  <c r="Y19" i="56"/>
  <c r="X19" i="56"/>
  <c r="U19" i="56"/>
  <c r="T19" i="56"/>
  <c r="Q19" i="56"/>
  <c r="P19" i="56"/>
  <c r="M19" i="56"/>
  <c r="L19" i="56"/>
  <c r="I19" i="56"/>
  <c r="H19" i="56"/>
  <c r="E19" i="56"/>
  <c r="AC18" i="56"/>
  <c r="AB18" i="56"/>
  <c r="Y18" i="56"/>
  <c r="X18" i="56"/>
  <c r="U18" i="56"/>
  <c r="T18" i="56"/>
  <c r="Q18" i="56"/>
  <c r="P18" i="56"/>
  <c r="M18" i="56"/>
  <c r="L18" i="56"/>
  <c r="I18" i="56"/>
  <c r="H18" i="56"/>
  <c r="E18" i="56"/>
  <c r="AC17" i="56"/>
  <c r="AB17" i="56"/>
  <c r="Y17" i="56"/>
  <c r="X17" i="56"/>
  <c r="U17" i="56"/>
  <c r="T17" i="56"/>
  <c r="Q17" i="56"/>
  <c r="P17" i="56"/>
  <c r="M17" i="56"/>
  <c r="L17" i="56"/>
  <c r="I17" i="56"/>
  <c r="H17" i="56"/>
  <c r="E17" i="56"/>
  <c r="AC16" i="56"/>
  <c r="AB16" i="56"/>
  <c r="Y16" i="56"/>
  <c r="X16" i="56"/>
  <c r="U16" i="56"/>
  <c r="T16" i="56"/>
  <c r="Q16" i="56"/>
  <c r="P16" i="56"/>
  <c r="M16" i="56"/>
  <c r="L16" i="56"/>
  <c r="I16" i="56"/>
  <c r="H16" i="56"/>
  <c r="E16" i="56"/>
  <c r="AC15" i="56"/>
  <c r="AB15" i="56"/>
  <c r="Y15" i="56"/>
  <c r="X15" i="56"/>
  <c r="X6" i="56" s="1"/>
  <c r="U15" i="56"/>
  <c r="T15" i="56"/>
  <c r="Q15" i="56"/>
  <c r="P15" i="56"/>
  <c r="M15" i="56"/>
  <c r="L15" i="56"/>
  <c r="I15" i="56"/>
  <c r="H15" i="56"/>
  <c r="H6" i="56" s="1"/>
  <c r="E15" i="56"/>
  <c r="A15" i="56"/>
  <c r="A16" i="56" s="1"/>
  <c r="A17" i="56" s="1"/>
  <c r="A18" i="56" s="1"/>
  <c r="A19" i="56" s="1"/>
  <c r="A20" i="56" s="1"/>
  <c r="A21" i="56" s="1"/>
  <c r="A22" i="56" s="1"/>
  <c r="A23" i="56" s="1"/>
  <c r="A24" i="56" s="1"/>
  <c r="A25" i="56" s="1"/>
  <c r="A26" i="56" s="1"/>
  <c r="A27" i="56" s="1"/>
  <c r="A28" i="56" s="1"/>
  <c r="A29" i="56" s="1"/>
  <c r="A30" i="56" s="1"/>
  <c r="A31" i="56" s="1"/>
  <c r="A32" i="56" s="1"/>
  <c r="A33" i="56" s="1"/>
  <c r="A34" i="56" s="1"/>
  <c r="A35" i="56" s="1"/>
  <c r="A36" i="56" s="1"/>
  <c r="A37" i="56" s="1"/>
  <c r="A38" i="56" s="1"/>
  <c r="A39" i="56" s="1"/>
  <c r="A40" i="56" s="1"/>
  <c r="A41" i="56" s="1"/>
  <c r="A42" i="56" s="1"/>
  <c r="A43" i="56" s="1"/>
  <c r="A44" i="56" s="1"/>
  <c r="A45" i="56" s="1"/>
  <c r="A46" i="56" s="1"/>
  <c r="A47" i="56" s="1"/>
  <c r="A48" i="56" s="1"/>
  <c r="A49" i="56" s="1"/>
  <c r="A50" i="56" s="1"/>
  <c r="A51" i="56" s="1"/>
  <c r="A52" i="56" s="1"/>
  <c r="A53" i="56" s="1"/>
  <c r="A54" i="56" s="1"/>
  <c r="A55" i="56" s="1"/>
  <c r="A56" i="56" s="1"/>
  <c r="A57" i="56" s="1"/>
  <c r="A58" i="56" s="1"/>
  <c r="A59" i="56" s="1"/>
  <c r="A60" i="56" s="1"/>
  <c r="A61" i="56" s="1"/>
  <c r="A62" i="56" s="1"/>
  <c r="A63" i="56" s="1"/>
  <c r="A64" i="56" s="1"/>
  <c r="A65" i="56" s="1"/>
  <c r="A66" i="56" s="1"/>
  <c r="A67" i="56" s="1"/>
  <c r="A68" i="56" s="1"/>
  <c r="AC14" i="56"/>
  <c r="AB14" i="56"/>
  <c r="Y14" i="56"/>
  <c r="X14" i="56"/>
  <c r="U14" i="56"/>
  <c r="T14" i="56"/>
  <c r="Q14" i="56"/>
  <c r="P14" i="56"/>
  <c r="M14" i="56"/>
  <c r="I14" i="56"/>
  <c r="E14" i="56"/>
  <c r="W16" i="27"/>
  <c r="AA6" i="56" l="1"/>
  <c r="K6" i="56"/>
  <c r="Q6" i="56"/>
  <c r="R6" i="56" s="1"/>
  <c r="AC6" i="56"/>
  <c r="AD6" i="56" s="1"/>
  <c r="F14" i="62"/>
  <c r="E14" i="62" s="1"/>
  <c r="F10" i="62"/>
  <c r="P18" i="62"/>
  <c r="V18" i="62"/>
  <c r="J40" i="60"/>
  <c r="E11" i="60"/>
  <c r="D11" i="60" s="1"/>
  <c r="J65" i="60"/>
  <c r="G6" i="56"/>
  <c r="O6" i="56"/>
  <c r="W6" i="56"/>
  <c r="S6" i="56"/>
  <c r="I6" i="56"/>
  <c r="Z6" i="56" l="1"/>
  <c r="N6" i="56"/>
  <c r="V6" i="56"/>
  <c r="J6" i="56"/>
  <c r="E30" i="60"/>
  <c r="E10" i="62"/>
  <c r="G14" i="62"/>
  <c r="H14" i="62" s="1"/>
  <c r="J14" i="62"/>
  <c r="E12" i="60"/>
  <c r="D12" i="60" s="1"/>
  <c r="D30" i="60" l="1"/>
  <c r="E55" i="60"/>
  <c r="D55" i="60" s="1"/>
  <c r="L14" i="62"/>
  <c r="N14" i="62"/>
  <c r="J10" i="62"/>
  <c r="G10" i="62"/>
  <c r="N10" i="62" l="1"/>
  <c r="L10" i="62"/>
  <c r="P14" i="62"/>
  <c r="V14" i="62"/>
  <c r="H10" i="62"/>
  <c r="V10" i="62" l="1"/>
  <c r="P10" i="62"/>
  <c r="C4" i="27"/>
  <c r="A4" i="27"/>
  <c r="I26" i="60" l="1"/>
  <c r="I53" i="60"/>
  <c r="L53" i="60" s="1"/>
  <c r="I51" i="60"/>
  <c r="I28" i="60"/>
  <c r="L28" i="60" s="1"/>
  <c r="W38" i="27"/>
  <c r="S38" i="27"/>
  <c r="U38" i="27" s="1"/>
  <c r="J38" i="27"/>
  <c r="V38" i="27" l="1"/>
  <c r="X38" i="27" s="1"/>
  <c r="E15" i="57" l="1"/>
  <c r="E16" i="57"/>
  <c r="E17" i="57"/>
  <c r="E18" i="57"/>
  <c r="E19" i="57"/>
  <c r="E20" i="57"/>
  <c r="E14" i="57"/>
  <c r="AD6" i="57" l="1"/>
  <c r="L69" i="60"/>
  <c r="L44" i="60"/>
  <c r="Z6" i="57"/>
  <c r="F17" i="62"/>
  <c r="E17" i="62" s="1"/>
  <c r="V6" i="57"/>
  <c r="F13" i="62"/>
  <c r="E13" i="62" s="1"/>
  <c r="R6" i="57"/>
  <c r="L68" i="60"/>
  <c r="J68" i="60" s="1"/>
  <c r="L43" i="60"/>
  <c r="J43" i="60" s="1"/>
  <c r="L34" i="60"/>
  <c r="N6" i="57"/>
  <c r="L41" i="60"/>
  <c r="J41" i="60" s="1"/>
  <c r="F15" i="62"/>
  <c r="E15" i="62" s="1"/>
  <c r="L66" i="60"/>
  <c r="J66" i="60" s="1"/>
  <c r="J6" i="57"/>
  <c r="E31" i="60"/>
  <c r="F11" i="62"/>
  <c r="E11" i="62" s="1"/>
  <c r="L38" i="60"/>
  <c r="J38" i="60" s="1"/>
  <c r="L63" i="60"/>
  <c r="L51" i="60"/>
  <c r="L26" i="60"/>
  <c r="S17" i="27"/>
  <c r="S18" i="27"/>
  <c r="S19" i="27"/>
  <c r="S20" i="27"/>
  <c r="S23" i="27"/>
  <c r="S24" i="27"/>
  <c r="S25" i="27"/>
  <c r="S26" i="27"/>
  <c r="S27" i="27"/>
  <c r="S28" i="27"/>
  <c r="S29" i="27"/>
  <c r="S30" i="27"/>
  <c r="S31" i="27"/>
  <c r="S32" i="27"/>
  <c r="S33" i="27"/>
  <c r="S34" i="27"/>
  <c r="S35" i="27"/>
  <c r="S36" i="27"/>
  <c r="S37" i="27"/>
  <c r="S42" i="27"/>
  <c r="S43" i="27"/>
  <c r="S44" i="27"/>
  <c r="S45" i="27"/>
  <c r="S46" i="27"/>
  <c r="S47" i="27"/>
  <c r="S48" i="27"/>
  <c r="S49" i="27"/>
  <c r="S50" i="27"/>
  <c r="S51" i="27"/>
  <c r="S52" i="27"/>
  <c r="S53" i="27"/>
  <c r="S54" i="27"/>
  <c r="S55" i="27"/>
  <c r="S56" i="27"/>
  <c r="S57" i="27"/>
  <c r="S58" i="27"/>
  <c r="S59" i="27"/>
  <c r="S60" i="27"/>
  <c r="S62" i="27"/>
  <c r="S63" i="27"/>
  <c r="S64" i="27"/>
  <c r="S65" i="27"/>
  <c r="S66" i="27"/>
  <c r="S67" i="27"/>
  <c r="S68" i="27"/>
  <c r="S69" i="27"/>
  <c r="S70" i="27"/>
  <c r="S71" i="27"/>
  <c r="S72" i="27"/>
  <c r="S73" i="27"/>
  <c r="S74" i="27"/>
  <c r="S75" i="27"/>
  <c r="S76" i="27"/>
  <c r="S77" i="27"/>
  <c r="S78" i="27"/>
  <c r="S80" i="27"/>
  <c r="S16" i="27"/>
  <c r="J44" i="60" l="1"/>
  <c r="J69" i="60"/>
  <c r="J63" i="60"/>
  <c r="G17" i="62"/>
  <c r="H17" i="62" s="1"/>
  <c r="J17" i="62"/>
  <c r="J13" i="62"/>
  <c r="G13" i="62"/>
  <c r="H13" i="62" s="1"/>
  <c r="G15" i="62"/>
  <c r="H15" i="62" s="1"/>
  <c r="J15" i="62"/>
  <c r="E56" i="60"/>
  <c r="D56" i="60" s="1"/>
  <c r="D31" i="60"/>
  <c r="J11" i="62"/>
  <c r="G11" i="62"/>
  <c r="H11" i="62" s="1"/>
  <c r="W17" i="27"/>
  <c r="W18" i="27"/>
  <c r="L17" i="62" l="1"/>
  <c r="N17" i="62"/>
  <c r="N13" i="62"/>
  <c r="L13" i="62"/>
  <c r="L15" i="62"/>
  <c r="N15" i="62"/>
  <c r="N11" i="62"/>
  <c r="L11" i="62"/>
  <c r="P17" i="62" l="1"/>
  <c r="V17" i="62"/>
  <c r="V13" i="62"/>
  <c r="P13" i="62"/>
  <c r="P15" i="62"/>
  <c r="T14" i="62" s="1"/>
  <c r="V15" i="62"/>
  <c r="V11" i="62"/>
  <c r="P11" i="62"/>
  <c r="T10" i="62" s="1"/>
  <c r="J25" i="27"/>
  <c r="U25" i="27" l="1"/>
  <c r="V25" i="27" s="1"/>
  <c r="W25" i="27"/>
  <c r="E20" i="50"/>
  <c r="E30" i="50"/>
  <c r="E29" i="50"/>
  <c r="E28" i="50"/>
  <c r="E27" i="50"/>
  <c r="E26" i="50"/>
  <c r="E24" i="50"/>
  <c r="E23" i="50"/>
  <c r="E22" i="50"/>
  <c r="E21" i="50"/>
  <c r="E18" i="50"/>
  <c r="E17" i="50"/>
  <c r="E15" i="50"/>
  <c r="S79" i="27" l="1"/>
  <c r="S40" i="27"/>
  <c r="S39" i="27"/>
  <c r="S41" i="27"/>
  <c r="S61" i="27"/>
  <c r="S21" i="27"/>
  <c r="S22" i="27"/>
  <c r="X25" i="27"/>
  <c r="U17" i="27" l="1"/>
  <c r="U16" i="27"/>
  <c r="V16" i="27" l="1"/>
  <c r="X16" i="27" s="1"/>
  <c r="U21" i="27"/>
  <c r="J16" i="27" l="1"/>
  <c r="J17" i="27"/>
  <c r="J18" i="27"/>
  <c r="J19" i="27"/>
  <c r="J20" i="27"/>
  <c r="J21" i="27"/>
  <c r="J22" i="27"/>
  <c r="J23" i="27"/>
  <c r="J24" i="27"/>
  <c r="J26" i="27"/>
  <c r="J27" i="27"/>
  <c r="J28" i="27"/>
  <c r="J29" i="27"/>
  <c r="J30" i="27"/>
  <c r="J31" i="27"/>
  <c r="J32" i="27"/>
  <c r="J33" i="27"/>
  <c r="J34" i="27"/>
  <c r="J35" i="27"/>
  <c r="J36" i="27"/>
  <c r="J39" i="27"/>
  <c r="J40" i="27"/>
  <c r="J41" i="27"/>
  <c r="J42" i="27"/>
  <c r="J43" i="27"/>
  <c r="J44" i="27"/>
  <c r="J45" i="27"/>
  <c r="J46" i="27"/>
  <c r="J47" i="27"/>
  <c r="J48" i="27"/>
  <c r="J49" i="27"/>
  <c r="J50" i="27"/>
  <c r="J51" i="27"/>
  <c r="J52" i="27"/>
  <c r="J53" i="27"/>
  <c r="J54" i="27"/>
  <c r="J55" i="27"/>
  <c r="J56" i="27"/>
  <c r="J57" i="27"/>
  <c r="J58" i="27"/>
  <c r="J59" i="27"/>
  <c r="J60" i="27"/>
  <c r="J61" i="27"/>
  <c r="J62" i="27"/>
  <c r="J63" i="27"/>
  <c r="J64" i="27"/>
  <c r="J65" i="27"/>
  <c r="J66" i="27"/>
  <c r="J67" i="27"/>
  <c r="J68" i="27"/>
  <c r="J69" i="27"/>
  <c r="J70" i="27"/>
  <c r="J71" i="27"/>
  <c r="J72" i="27"/>
  <c r="J73" i="27"/>
  <c r="J74" i="27"/>
  <c r="J75" i="27"/>
  <c r="J76" i="27"/>
  <c r="J77" i="27"/>
  <c r="J78" i="27"/>
  <c r="J79" i="27"/>
  <c r="J80" i="27"/>
  <c r="V17" i="27"/>
  <c r="X17" i="27" s="1"/>
  <c r="B20" i="60" l="1"/>
  <c r="W19" i="27"/>
  <c r="W20" i="27"/>
  <c r="W21" i="27"/>
  <c r="W22" i="27"/>
  <c r="W23" i="27"/>
  <c r="W24" i="27"/>
  <c r="W26" i="27"/>
  <c r="W27" i="27"/>
  <c r="W28" i="27"/>
  <c r="W29" i="27"/>
  <c r="W30" i="27"/>
  <c r="W31" i="27"/>
  <c r="W32" i="27"/>
  <c r="W33" i="27"/>
  <c r="W34" i="27"/>
  <c r="W35" i="27"/>
  <c r="W36" i="27"/>
  <c r="W37" i="27"/>
  <c r="W39" i="27"/>
  <c r="W40" i="27"/>
  <c r="W41" i="27"/>
  <c r="W42" i="27"/>
  <c r="W43" i="27"/>
  <c r="W44" i="27"/>
  <c r="W45" i="27"/>
  <c r="W46" i="27"/>
  <c r="W47" i="27"/>
  <c r="W48" i="27"/>
  <c r="W49" i="27"/>
  <c r="W50" i="27"/>
  <c r="W51" i="27"/>
  <c r="W52" i="27"/>
  <c r="W53" i="27"/>
  <c r="W54" i="27"/>
  <c r="W55" i="27"/>
  <c r="W56" i="27"/>
  <c r="W57" i="27"/>
  <c r="W58" i="27"/>
  <c r="W59" i="27"/>
  <c r="W60" i="27"/>
  <c r="W61" i="27"/>
  <c r="W62" i="27"/>
  <c r="W63" i="27"/>
  <c r="W64" i="27"/>
  <c r="W65" i="27"/>
  <c r="W66" i="27"/>
  <c r="W67" i="27"/>
  <c r="W68" i="27"/>
  <c r="W69" i="27"/>
  <c r="W70" i="27"/>
  <c r="W71" i="27"/>
  <c r="W72" i="27"/>
  <c r="W73" i="27"/>
  <c r="W74" i="27"/>
  <c r="W75" i="27"/>
  <c r="W76" i="27"/>
  <c r="W77" i="27"/>
  <c r="W78" i="27"/>
  <c r="W79" i="27"/>
  <c r="W80" i="27"/>
  <c r="U18" i="27" l="1"/>
  <c r="U80" i="27"/>
  <c r="U77" i="27"/>
  <c r="U78" i="27"/>
  <c r="U79" i="27"/>
  <c r="U74" i="27"/>
  <c r="U75" i="27"/>
  <c r="U76" i="27"/>
  <c r="U73" i="27"/>
  <c r="V18" i="27" l="1"/>
  <c r="X18" i="27" s="1"/>
  <c r="V74" i="27"/>
  <c r="X74" i="27" s="1"/>
  <c r="V80" i="27"/>
  <c r="X80" i="27" s="1"/>
  <c r="V73" i="27"/>
  <c r="X73" i="27" s="1"/>
  <c r="V78" i="27"/>
  <c r="X78" i="27" s="1"/>
  <c r="V75" i="27"/>
  <c r="X75" i="27" s="1"/>
  <c r="V79" i="27"/>
  <c r="X79" i="27" s="1"/>
  <c r="V76" i="27"/>
  <c r="X76" i="27" s="1"/>
  <c r="V77" i="27"/>
  <c r="X77" i="27" s="1"/>
  <c r="U72" i="27" l="1"/>
  <c r="U71" i="27"/>
  <c r="U70" i="27"/>
  <c r="U69" i="27"/>
  <c r="U68" i="27"/>
  <c r="U67" i="27"/>
  <c r="U66" i="27"/>
  <c r="U65" i="27"/>
  <c r="U64" i="27"/>
  <c r="U63" i="27"/>
  <c r="U62" i="27"/>
  <c r="U61" i="27"/>
  <c r="U60" i="27"/>
  <c r="U59" i="27"/>
  <c r="U58" i="27"/>
  <c r="U57" i="27"/>
  <c r="U56" i="27"/>
  <c r="U55" i="27"/>
  <c r="U54" i="27"/>
  <c r="U53" i="27"/>
  <c r="U52" i="27"/>
  <c r="U51" i="27"/>
  <c r="U50" i="27"/>
  <c r="U49" i="27"/>
  <c r="U48" i="27"/>
  <c r="U47" i="27"/>
  <c r="U46" i="27"/>
  <c r="U45" i="27"/>
  <c r="U44" i="27"/>
  <c r="U43" i="27"/>
  <c r="U42" i="27"/>
  <c r="U41" i="27"/>
  <c r="U40" i="27"/>
  <c r="U39" i="27"/>
  <c r="U37" i="27"/>
  <c r="U36" i="27"/>
  <c r="U35" i="27"/>
  <c r="U34" i="27"/>
  <c r="U33" i="27"/>
  <c r="U32" i="27"/>
  <c r="U31" i="27"/>
  <c r="U30" i="27"/>
  <c r="U29" i="27"/>
  <c r="U28" i="27"/>
  <c r="U27" i="27"/>
  <c r="U26" i="27"/>
  <c r="U24" i="27"/>
  <c r="U23" i="27"/>
  <c r="V61" i="27" l="1"/>
  <c r="X61" i="27" s="1"/>
  <c r="V65" i="27"/>
  <c r="X65" i="27" s="1"/>
  <c r="V69" i="27"/>
  <c r="X69" i="27" s="1"/>
  <c r="V64" i="27"/>
  <c r="X64" i="27" s="1"/>
  <c r="V60" i="27"/>
  <c r="X60" i="27" s="1"/>
  <c r="V68" i="27"/>
  <c r="X68" i="27" s="1"/>
  <c r="V23" i="27"/>
  <c r="X23" i="27" s="1"/>
  <c r="V26" i="27"/>
  <c r="X26" i="27" s="1"/>
  <c r="V28" i="27"/>
  <c r="X28" i="27" s="1"/>
  <c r="V31" i="27"/>
  <c r="X31" i="27" s="1"/>
  <c r="V32" i="27"/>
  <c r="X32" i="27" s="1"/>
  <c r="V34" i="27"/>
  <c r="X34" i="27" s="1"/>
  <c r="V36" i="27"/>
  <c r="X36" i="27" s="1"/>
  <c r="V39" i="27"/>
  <c r="X39" i="27" s="1"/>
  <c r="V40" i="27"/>
  <c r="X40" i="27" s="1"/>
  <c r="V42" i="27"/>
  <c r="X42" i="27" s="1"/>
  <c r="V43" i="27"/>
  <c r="X43" i="27" s="1"/>
  <c r="V45" i="27"/>
  <c r="X45" i="27" s="1"/>
  <c r="V47" i="27"/>
  <c r="X47" i="27" s="1"/>
  <c r="V48" i="27"/>
  <c r="X48" i="27" s="1"/>
  <c r="V50" i="27"/>
  <c r="X50" i="27" s="1"/>
  <c r="V51" i="27"/>
  <c r="X51" i="27" s="1"/>
  <c r="V52" i="27"/>
  <c r="X52" i="27" s="1"/>
  <c r="V24" i="27"/>
  <c r="X24" i="27" s="1"/>
  <c r="V27" i="27"/>
  <c r="X27" i="27" s="1"/>
  <c r="V29" i="27"/>
  <c r="X29" i="27" s="1"/>
  <c r="V30" i="27"/>
  <c r="X30" i="27" s="1"/>
  <c r="V33" i="27"/>
  <c r="X33" i="27" s="1"/>
  <c r="V35" i="27"/>
  <c r="X35" i="27" s="1"/>
  <c r="V37" i="27"/>
  <c r="X37" i="27" s="1"/>
  <c r="V41" i="27"/>
  <c r="X41" i="27" s="1"/>
  <c r="V44" i="27"/>
  <c r="X44" i="27" s="1"/>
  <c r="V46" i="27"/>
  <c r="X46" i="27" s="1"/>
  <c r="V49" i="27"/>
  <c r="X49" i="27" s="1"/>
  <c r="V21" i="27"/>
  <c r="X21" i="27" s="1"/>
  <c r="V53" i="27"/>
  <c r="X53" i="27" s="1"/>
  <c r="V54" i="27"/>
  <c r="X54" i="27" s="1"/>
  <c r="V55" i="27"/>
  <c r="X55" i="27" s="1"/>
  <c r="V56" i="27"/>
  <c r="X56" i="27" s="1"/>
  <c r="V57" i="27"/>
  <c r="X57" i="27" s="1"/>
  <c r="V58" i="27"/>
  <c r="X58" i="27" s="1"/>
  <c r="V59" i="27"/>
  <c r="X59" i="27" s="1"/>
  <c r="V63" i="27"/>
  <c r="X63" i="27" s="1"/>
  <c r="V67" i="27"/>
  <c r="X67" i="27" s="1"/>
  <c r="V71" i="27"/>
  <c r="X71" i="27" s="1"/>
  <c r="V72" i="27"/>
  <c r="X72" i="27" s="1"/>
  <c r="V62" i="27"/>
  <c r="X62" i="27" s="1"/>
  <c r="V66" i="27"/>
  <c r="X66" i="27" s="1"/>
  <c r="V70" i="27"/>
  <c r="X70" i="27" s="1"/>
  <c r="I58" i="60" l="1"/>
  <c r="L58" i="60" s="1"/>
  <c r="I67" i="60"/>
  <c r="L67" i="60" s="1"/>
  <c r="J67" i="60" s="1"/>
  <c r="I42" i="60"/>
  <c r="I33" i="60"/>
  <c r="L33" i="60" s="1"/>
  <c r="L42" i="60" l="1"/>
  <c r="J42" i="60" s="1"/>
  <c r="F16" i="62"/>
  <c r="E16" i="62" s="1"/>
  <c r="J16" i="62" l="1"/>
  <c r="G16" i="62"/>
  <c r="H16" i="62" s="1"/>
  <c r="N16" i="62" l="1"/>
  <c r="L16" i="62"/>
  <c r="P16" i="62" l="1"/>
  <c r="T16" i="62" s="1"/>
  <c r="V16" i="62"/>
  <c r="U22" i="27" l="1"/>
  <c r="V22" i="27" s="1"/>
  <c r="X22" i="27" s="1"/>
  <c r="U20" i="27"/>
  <c r="V20" i="27" s="1"/>
  <c r="X20" i="27" s="1"/>
  <c r="U19" i="27"/>
  <c r="B26" i="60" l="1"/>
  <c r="V19" i="27"/>
  <c r="X19" i="27" s="1"/>
  <c r="AA81" i="27" s="1"/>
  <c r="I64" i="60" l="1"/>
  <c r="L64" i="60" s="1"/>
  <c r="I52" i="60"/>
  <c r="L52" i="60" s="1"/>
  <c r="I39" i="60"/>
  <c r="B24" i="60"/>
  <c r="E29" i="60" s="1"/>
  <c r="I32" i="60"/>
  <c r="L32" i="60" s="1"/>
  <c r="I57" i="60"/>
  <c r="L57" i="60" s="1"/>
  <c r="I27" i="60"/>
  <c r="L27" i="60" s="1"/>
  <c r="J64" i="60" l="1"/>
  <c r="L39" i="60"/>
  <c r="J39" i="60" s="1"/>
  <c r="F12" i="62"/>
  <c r="E12" i="62" l="1"/>
  <c r="F21" i="62"/>
  <c r="J12" i="62" l="1"/>
  <c r="G12" i="62"/>
  <c r="E21" i="62"/>
  <c r="H12" i="62" l="1"/>
  <c r="H21" i="62" s="1"/>
  <c r="G21" i="62"/>
  <c r="L12" i="62"/>
  <c r="L21" i="62" s="1"/>
  <c r="N12" i="62"/>
  <c r="J21" i="62"/>
  <c r="V12" i="62" l="1"/>
  <c r="V21" i="62" s="1"/>
  <c r="P12" i="62"/>
  <c r="N21" i="62"/>
  <c r="T12" i="62" l="1"/>
  <c r="P21" i="62"/>
  <c r="U12" i="62" l="1"/>
  <c r="U18" i="62"/>
  <c r="U14" i="62"/>
  <c r="U10" i="62"/>
  <c r="U16" i="62"/>
  <c r="T4" i="62" l="1"/>
  <c r="J52" i="60"/>
  <c r="J26" i="60" l="1"/>
  <c r="J51" i="60"/>
  <c r="J27" i="60"/>
  <c r="J34" i="60" l="1"/>
  <c r="J59" i="60"/>
  <c r="J45" i="60" l="1"/>
  <c r="J53" i="60"/>
  <c r="J70" i="60"/>
  <c r="J28" i="60"/>
  <c r="J33" i="60" l="1"/>
  <c r="J58" i="60"/>
  <c r="D26" i="60"/>
  <c r="B51" i="60"/>
  <c r="J57" i="60"/>
  <c r="J32" i="60"/>
  <c r="B49" i="60" l="1"/>
  <c r="D51" i="60" s="1"/>
  <c r="E54" i="60" l="1"/>
  <c r="E32" i="60"/>
  <c r="D24" i="60" s="1"/>
  <c r="D29" i="60"/>
  <c r="D32" i="60" l="1"/>
  <c r="D25" i="60"/>
  <c r="E36" i="60"/>
  <c r="E57" i="60"/>
  <c r="D54" i="60"/>
  <c r="H31" i="60" l="1"/>
  <c r="H37" i="60"/>
  <c r="H25" i="60"/>
  <c r="D36" i="60"/>
  <c r="D50" i="60"/>
  <c r="D57" i="60"/>
  <c r="E61" i="60"/>
  <c r="D49" i="60"/>
  <c r="H56" i="60" l="1"/>
  <c r="H62" i="60"/>
  <c r="H50" i="60"/>
  <c r="D61" i="60"/>
</calcChain>
</file>

<file path=xl/comments1.xml><?xml version="1.0" encoding="utf-8"?>
<comments xmlns="http://schemas.openxmlformats.org/spreadsheetml/2006/main">
  <authors>
    <author>FIASSE Aurélien ADJ</author>
  </authors>
  <commentList>
    <comment ref="N10" authorId="0" shapeId="0">
      <text>
        <r>
          <rPr>
            <b/>
            <sz val="9"/>
            <color indexed="81"/>
            <rFont val="Tahoma"/>
            <family val="2"/>
          </rPr>
          <t>FIASSE Aurélien ADJ:</t>
        </r>
        <r>
          <rPr>
            <sz val="9"/>
            <color indexed="81"/>
            <rFont val="Tahoma"/>
            <family val="2"/>
          </rPr>
          <t xml:space="preserve">
La cible est à renseigner par le référent NDL de la PFC</t>
        </r>
      </text>
    </comment>
    <comment ref="N21" authorId="0" shapeId="0">
      <text>
        <r>
          <rPr>
            <b/>
            <sz val="9"/>
            <color indexed="81"/>
            <rFont val="Tahoma"/>
            <family val="2"/>
          </rPr>
          <t>FIASSE Aurélien ADJ:</t>
        </r>
        <r>
          <rPr>
            <sz val="9"/>
            <color indexed="81"/>
            <rFont val="Tahoma"/>
            <family val="2"/>
          </rPr>
          <t xml:space="preserve">
il faut renseigner dans les prestations programmées les locaux de plonge afin de prendre en compte le nombre de m2. En revanche, comme l'estimation du coût de ce nettoyage est déjà inclus dans l'estimation du CIRL, cette cellule doit rester à 0 pour ne pas être inclus dans le montant estimatif du marché
</t>
        </r>
      </text>
    </comment>
  </commentList>
</comments>
</file>

<file path=xl/comments2.xml><?xml version="1.0" encoding="utf-8"?>
<comments xmlns="http://schemas.openxmlformats.org/spreadsheetml/2006/main">
  <authors>
    <author>DIXMIER Guillaume SECR ADMI CLAS NOR</author>
  </authors>
  <commentList>
    <comment ref="S13" authorId="0" shapeId="0">
      <text>
        <r>
          <rPr>
            <b/>
            <sz val="20"/>
            <color indexed="81"/>
            <rFont val="Tahoma"/>
            <family val="2"/>
          </rPr>
          <t>Il y a de la mise en forme conditionnelle de manière à ce que la valeur zéro pour les fréquences à la demande ne soit pas visible.
--------------------------------------------------------------
Les soummissionaires doivent consulter l'estimation de commande communiquée pour connaître le volume à prévoir.
--------------------------------------------------------------
Il y a également de la mise en forme condtionnelle pour que les d'interrogation (automatique ou manuel) passe en police gras rouge de la colonne A à la colonne S.</t>
        </r>
      </text>
    </comment>
  </commentList>
</comments>
</file>

<file path=xl/comments3.xml><?xml version="1.0" encoding="utf-8"?>
<comments xmlns="http://schemas.openxmlformats.org/spreadsheetml/2006/main">
  <authors>
    <author>FIASSE Aurélien ADJ</author>
    <author>DIXMIER Guillaume SECR ADMI CLAS NOR</author>
  </authors>
  <commentList>
    <comment ref="G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J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K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N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O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R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S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V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W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Z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AA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AD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B43" authorId="1" shapeId="0">
      <text>
        <r>
          <rPr>
            <b/>
            <sz val="9"/>
            <color indexed="81"/>
            <rFont val="Tahoma"/>
            <family val="2"/>
          </rPr>
          <t>Les prestations habituelles (= sur plan de charge) pour les types de locaux "hébergement" et "hôtellerie" sont à compléter dans l'autre onglet dédié.
Il conviendra d'adapter votre ANNEXE 2 du CCTP si pour ces types de locaux les 2 formes de prestations sont souhaitées (OCCA + HABI).</t>
        </r>
        <r>
          <rPr>
            <sz val="9"/>
            <color indexed="81"/>
            <rFont val="Tahoma"/>
            <family val="2"/>
          </rPr>
          <t xml:space="preserve">
</t>
        </r>
      </text>
    </comment>
  </commentList>
</comments>
</file>

<file path=xl/comments4.xml><?xml version="1.0" encoding="utf-8"?>
<comments xmlns="http://schemas.openxmlformats.org/spreadsheetml/2006/main">
  <authors>
    <author>FIASSE Aurélien ADJ</author>
    <author>DIXMIER Guillaume SECR ADMI CLAS NOR</author>
  </authors>
  <commentList>
    <comment ref="G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J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K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N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O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R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S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V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W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Z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AA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AD6" authorId="0" shapeId="0">
      <text>
        <r>
          <rPr>
            <b/>
            <sz val="9"/>
            <color indexed="81"/>
            <rFont val="Tahoma"/>
            <family val="2"/>
          </rPr>
          <t>FIASSE Aurélien ADJ:</t>
        </r>
        <r>
          <rPr>
            <sz val="9"/>
            <color indexed="81"/>
            <rFont val="Tahoma"/>
            <family val="2"/>
          </rPr>
          <t xml:space="preserve">
Si la cellule indique "erreur", vérifier que la somme n'omet pas des cellules.</t>
        </r>
      </text>
    </comment>
    <comment ref="B14" authorId="1" shapeId="0">
      <text>
        <r>
          <rPr>
            <b/>
            <sz val="9"/>
            <color indexed="81"/>
            <rFont val="Tahoma"/>
            <family val="2"/>
          </rPr>
          <t xml:space="preserve">Votre annexe 2 du CCTP doit stipuler précisement les opérations attendues pour les locaux en questions (Pour un nettoyage recouche de tel type de chambre / Pour une mise à blanc de tel type de chambre).
</t>
        </r>
        <r>
          <rPr>
            <sz val="9"/>
            <color indexed="81"/>
            <rFont val="Tahoma"/>
            <family val="2"/>
          </rPr>
          <t xml:space="preserve">
</t>
        </r>
      </text>
    </comment>
    <comment ref="B15" authorId="1" shapeId="0">
      <text>
        <r>
          <rPr>
            <b/>
            <sz val="9"/>
            <color indexed="81"/>
            <rFont val="Tahoma"/>
            <family val="2"/>
          </rPr>
          <t>Votre annexe 2 du CCTP doit stipuler précisement les opérations attendues pour les locaux en questions (Pour un nettoyage recouche de tel type de chambre / Pour une mise à blanc de tel type de chambre).</t>
        </r>
        <r>
          <rPr>
            <sz val="9"/>
            <color indexed="81"/>
            <rFont val="Tahoma"/>
            <family val="2"/>
          </rPr>
          <t xml:space="preserve">
</t>
        </r>
      </text>
    </comment>
    <comment ref="B16" authorId="1" shapeId="0">
      <text>
        <r>
          <rPr>
            <b/>
            <sz val="9"/>
            <color indexed="81"/>
            <rFont val="Tahoma"/>
            <family val="2"/>
          </rPr>
          <t>Votre annexe 2 du CCTP doit stipuler précisement les opérations attendues pour les locaux en questions (Pour un nettoyage recouche de tel type de chambre / Pour une mise à blanc de tel type de chambre).</t>
        </r>
        <r>
          <rPr>
            <sz val="9"/>
            <color indexed="81"/>
            <rFont val="Tahoma"/>
            <family val="2"/>
          </rPr>
          <t xml:space="preserve">
</t>
        </r>
      </text>
    </comment>
    <comment ref="B17" authorId="1" shapeId="0">
      <text>
        <r>
          <rPr>
            <b/>
            <sz val="9"/>
            <color indexed="81"/>
            <rFont val="Tahoma"/>
            <family val="2"/>
          </rPr>
          <t>Votre annexe 2 du CCTP doit stipuler précisement les opérations attendues pour les locaux en questions (Pour un nettoyage recouche de tel type de chambre / Pour une mise à blanc de tel type de chambre).</t>
        </r>
        <r>
          <rPr>
            <sz val="9"/>
            <color indexed="81"/>
            <rFont val="Tahoma"/>
            <family val="2"/>
          </rPr>
          <t xml:space="preserve">
</t>
        </r>
      </text>
    </comment>
    <comment ref="B18" authorId="1" shapeId="0">
      <text>
        <r>
          <rPr>
            <b/>
            <sz val="9"/>
            <color indexed="81"/>
            <rFont val="Tahoma"/>
            <family val="2"/>
          </rPr>
          <t>Votre annexe 2 du CCTP doit stipuler précisement les opérations attendues pour les locaux en questions (Pour un nettoyage recouche de tel type de chambre / Pour une mise à blanc de tel type de chambre).</t>
        </r>
      </text>
    </comment>
    <comment ref="B19" authorId="1" shapeId="0">
      <text>
        <r>
          <rPr>
            <b/>
            <sz val="9"/>
            <color indexed="81"/>
            <rFont val="Tahoma"/>
            <family val="2"/>
          </rPr>
          <t>Votre annexe 2 du CCTP doit stipuler précisement les opérations attendues pour les locaux en questions (Pour un nettoyage recouche de tel type de chambre / Pour une mise à blanc de tel type de chambre).</t>
        </r>
        <r>
          <rPr>
            <sz val="9"/>
            <color indexed="81"/>
            <rFont val="Tahoma"/>
            <family val="2"/>
          </rPr>
          <t xml:space="preserve">
</t>
        </r>
      </text>
    </comment>
    <comment ref="B20" authorId="1" shapeId="0">
      <text>
        <r>
          <rPr>
            <b/>
            <sz val="9"/>
            <color indexed="81"/>
            <rFont val="Tahoma"/>
            <family val="2"/>
          </rPr>
          <t>Votre annexe 2 du CCTP doit stipuler précisement les opérations attendues pour les locaux en questions (Pour un nettoyage recouche de tel type de chambre / Pour une mise à blanc de tel type de chambre).</t>
        </r>
      </text>
    </comment>
    <comment ref="B21" authorId="1" shapeId="0">
      <text>
        <r>
          <rPr>
            <b/>
            <sz val="9"/>
            <color indexed="81"/>
            <rFont val="Tahoma"/>
            <family val="2"/>
          </rPr>
          <t>Votre annexe 2 du CCTP doit stipuler précisement les opérations attendues pour les locaux en questions (Pour un nettoyage recouche de tel type de chambre / Pour une mise à blanc de tel type de chambre).</t>
        </r>
        <r>
          <rPr>
            <sz val="9"/>
            <color indexed="81"/>
            <rFont val="Tahoma"/>
            <family val="2"/>
          </rPr>
          <t xml:space="preserve">
</t>
        </r>
      </text>
    </comment>
  </commentList>
</comments>
</file>

<file path=xl/comments5.xml><?xml version="1.0" encoding="utf-8"?>
<comments xmlns="http://schemas.openxmlformats.org/spreadsheetml/2006/main">
  <authors>
    <author>FIASSE Aurélien ADJ</author>
  </authors>
  <commentList>
    <comment ref="C6" authorId="0" shapeId="0">
      <text>
        <r>
          <rPr>
            <b/>
            <sz val="9"/>
            <color indexed="81"/>
            <rFont val="Tahoma"/>
            <family val="2"/>
          </rPr>
          <t>FIASSE Aurélien ADJ:</t>
        </r>
        <r>
          <rPr>
            <sz val="9"/>
            <color indexed="81"/>
            <rFont val="Tahoma"/>
            <family val="2"/>
          </rPr>
          <t xml:space="preserve">
Montant du SMIC.</t>
        </r>
      </text>
    </comment>
    <comment ref="C8" authorId="0" shapeId="0">
      <text>
        <r>
          <rPr>
            <b/>
            <sz val="9"/>
            <color indexed="81"/>
            <rFont val="Tahoma"/>
            <family val="2"/>
          </rPr>
          <t>FIASSE Aurélien ADJ:</t>
        </r>
        <r>
          <rPr>
            <sz val="9"/>
            <color indexed="81"/>
            <rFont val="Tahoma"/>
            <family val="2"/>
          </rPr>
          <t xml:space="preserve">
Pourcentage représentant le montant des différentes charges à intégrer dans le prix TTC à l'heure.</t>
        </r>
        <r>
          <rPr>
            <b/>
            <sz val="9"/>
            <color indexed="81"/>
            <rFont val="Tahoma"/>
            <family val="2"/>
          </rPr>
          <t xml:space="preserve">
</t>
        </r>
      </text>
    </comment>
    <comment ref="C14" authorId="0" shapeId="0">
      <text>
        <r>
          <rPr>
            <b/>
            <sz val="9"/>
            <color indexed="81"/>
            <rFont val="Tahoma"/>
            <family val="2"/>
          </rPr>
          <t>FIASSE Aurélien ADJ:</t>
        </r>
        <r>
          <rPr>
            <sz val="9"/>
            <color indexed="81"/>
            <rFont val="Tahoma"/>
            <family val="2"/>
          </rPr>
          <t xml:space="preserve">
Montant de base pour le calcul du coût de la prestations NDL en prestations programmées. </t>
        </r>
      </text>
    </comment>
    <comment ref="C16" authorId="0" shapeId="0">
      <text>
        <r>
          <rPr>
            <b/>
            <sz val="9"/>
            <color indexed="81"/>
            <rFont val="Tahoma"/>
            <family val="2"/>
          </rPr>
          <t>FIASSE Aurélien ADJ:</t>
        </r>
        <r>
          <rPr>
            <sz val="9"/>
            <color indexed="81"/>
            <rFont val="Tahoma"/>
            <family val="2"/>
          </rPr>
          <t xml:space="preserve">
Inflation prévue, reporté sur l'onglet "montant".
</t>
        </r>
      </text>
    </comment>
  </commentList>
</comments>
</file>

<file path=xl/comments6.xml><?xml version="1.0" encoding="utf-8"?>
<comments xmlns="http://schemas.openxmlformats.org/spreadsheetml/2006/main">
  <authors>
    <author>DIXMIER Guillaume SECR ADMI CLAS NOR</author>
    <author>FIASSE Aurélien ADJ</author>
  </authors>
  <commentList>
    <comment ref="A2" authorId="0" shapeId="0">
      <text>
        <r>
          <rPr>
            <b/>
            <sz val="9"/>
            <color indexed="81"/>
            <rFont val="Tahoma"/>
            <family val="2"/>
          </rPr>
          <t>DIXMIER Guillaume SECR ADMI CLAS NOR:
Ne pas s'attarder sur ces champs.
Appliquer la Nouvelle méthode pour calculer les données relatives au montant de référence que l'on reportera dans Alpha.
Nouvelle méthode = calcul du montant de référence d'après le coût actuel des prestations et le périmètre.
Le montant cible sera le montant de référence calculé - 1% de gains.</t>
        </r>
        <r>
          <rPr>
            <sz val="9"/>
            <color indexed="81"/>
            <rFont val="Tahoma"/>
            <family val="2"/>
          </rPr>
          <t xml:space="preserve">
</t>
        </r>
      </text>
    </comment>
    <comment ref="C4" authorId="1" shapeId="0">
      <text>
        <r>
          <rPr>
            <b/>
            <sz val="9"/>
            <color indexed="81"/>
            <rFont val="Tahoma"/>
            <family val="2"/>
          </rPr>
          <t>FIASSE Aurélien ADJ:</t>
        </r>
        <r>
          <rPr>
            <sz val="9"/>
            <color indexed="81"/>
            <rFont val="Tahoma"/>
            <family val="2"/>
          </rPr>
          <t xml:space="preserve">
Montant total Habituelles + occasionnelles  + avenants éventuels + plonge.
Ou 
Montant de l'estimation de commande annuelle après avenants de la feuille de calcul du dernier avenant, à diviser par le nb d'année du marché et à ajouter la TVA.
</t>
        </r>
      </text>
    </comment>
    <comment ref="J4" authorId="1" shapeId="0">
      <text>
        <r>
          <rPr>
            <b/>
            <sz val="9"/>
            <color indexed="81"/>
            <rFont val="Tahoma"/>
            <family val="2"/>
          </rPr>
          <t>FIASSE Aurélien ADJ:</t>
        </r>
        <r>
          <rPr>
            <sz val="9"/>
            <color indexed="81"/>
            <rFont val="Tahoma"/>
            <family val="2"/>
          </rPr>
          <t xml:space="preserve">
disponible dans l'onglet "synthèse" de la précédente procédure, colonne "volume horaire total du personnel " du titulaire.
</t>
        </r>
      </text>
    </comment>
    <comment ref="J5" authorId="1" shapeId="0">
      <text>
        <r>
          <rPr>
            <b/>
            <sz val="9"/>
            <color indexed="81"/>
            <rFont val="Tahoma"/>
            <family val="2"/>
          </rPr>
          <t>FIASSE Aurélien ADJ:</t>
        </r>
        <r>
          <rPr>
            <sz val="9"/>
            <color indexed="81"/>
            <rFont val="Tahoma"/>
            <family val="2"/>
          </rPr>
          <t xml:space="preserve">
disponible dans l'onglet "CHIFFRAGE locaux poste 1" de la précédente procédure.</t>
        </r>
      </text>
    </comment>
    <comment ref="J6" authorId="1" shapeId="0">
      <text>
        <r>
          <rPr>
            <b/>
            <sz val="9"/>
            <color indexed="81"/>
            <rFont val="Tahoma"/>
            <family val="2"/>
          </rPr>
          <t>FIASSE Aurélien ADJ:</t>
        </r>
        <r>
          <rPr>
            <sz val="9"/>
            <color indexed="81"/>
            <rFont val="Tahoma"/>
            <family val="2"/>
          </rPr>
          <t xml:space="preserve">
disponible dans l'onglet "CHIFFRAGE locaux poste 1" de la précédente procédure.</t>
        </r>
      </text>
    </comment>
    <comment ref="A8" authorId="0" shapeId="0">
      <text>
        <r>
          <rPr>
            <b/>
            <sz val="9"/>
            <color indexed="81"/>
            <rFont val="Tahoma"/>
            <family val="2"/>
          </rPr>
          <t>DIXMIER Guillaume SECR ADMI CLAS NOR:
Ne pas s'attarder sur ces champs.
Appliquer la Nouvelle méthode pour calculer les données relatives au montant de référence que l'on reportera dans Alpha.
Nouvelle méthode = calcul du montant de référence d'après le coût actuel des prestations et le périmètre.
Le montant cible sera le montant de référence calculé - 1% de gains.</t>
        </r>
      </text>
    </comment>
    <comment ref="L11" authorId="1" shapeId="0">
      <text>
        <r>
          <rPr>
            <b/>
            <sz val="9"/>
            <color indexed="81"/>
            <rFont val="Tahoma"/>
            <family val="2"/>
          </rPr>
          <t>FIASSE Aurélien ADJ:</t>
        </r>
        <r>
          <rPr>
            <sz val="9"/>
            <color indexed="81"/>
            <rFont val="Tahoma"/>
            <family val="2"/>
          </rPr>
          <t xml:space="preserve">
Ajouter ou soustraire si besoin.</t>
        </r>
      </text>
    </comment>
    <comment ref="E12" authorId="1" shapeId="0">
      <text>
        <r>
          <rPr>
            <b/>
            <sz val="9"/>
            <color indexed="81"/>
            <rFont val="Tahoma"/>
            <family val="2"/>
          </rPr>
          <t>FIASSE Aurélien ADJ:</t>
        </r>
        <r>
          <rPr>
            <sz val="9"/>
            <color indexed="81"/>
            <rFont val="Tahoma"/>
            <family val="2"/>
          </rPr>
          <t xml:space="preserve">
Montant de référence pour ALPHA.</t>
        </r>
      </text>
    </comment>
    <comment ref="L12" authorId="1" shapeId="0">
      <text>
        <r>
          <rPr>
            <b/>
            <sz val="9"/>
            <color indexed="81"/>
            <rFont val="Tahoma"/>
            <family val="2"/>
          </rPr>
          <t>FIASSE Aurélien ADJ:</t>
        </r>
        <r>
          <rPr>
            <sz val="9"/>
            <color indexed="81"/>
            <rFont val="Tahoma"/>
            <family val="2"/>
          </rPr>
          <t xml:space="preserve">
Donnée renseignée depuis l'onglet coût à l'heure, transmis par le référent NDL.</t>
        </r>
      </text>
    </comment>
    <comment ref="B18" authorId="1" shapeId="0">
      <text>
        <r>
          <rPr>
            <b/>
            <sz val="9"/>
            <color indexed="81"/>
            <rFont val="Tahoma"/>
            <family val="2"/>
          </rPr>
          <t>FIASSE Aurélien ADJ:</t>
        </r>
        <r>
          <rPr>
            <sz val="9"/>
            <color indexed="81"/>
            <rFont val="Tahoma"/>
            <family val="2"/>
          </rPr>
          <t xml:space="preserve">
(de +5% à +20% selon l'étendu et l'espacement des locaux).
</t>
        </r>
        <r>
          <rPr>
            <b/>
            <sz val="9"/>
            <color indexed="81"/>
            <rFont val="Tahoma"/>
            <family val="2"/>
          </rPr>
          <t>Guillaume :
Va avoir une répercussion sur la cible horaire en B24 et aussi dans la colonne I du présent onglet.</t>
        </r>
      </text>
    </comment>
    <comment ref="L18" authorId="1" shapeId="0">
      <text>
        <r>
          <rPr>
            <b/>
            <sz val="9"/>
            <color indexed="81"/>
            <rFont val="Tahoma"/>
            <family val="2"/>
          </rPr>
          <t>FIASSE Aurélien ADJ:</t>
        </r>
        <r>
          <rPr>
            <sz val="9"/>
            <color indexed="81"/>
            <rFont val="Tahoma"/>
            <family val="2"/>
          </rPr>
          <t xml:space="preserve">
Indiquer le montant transmis par le CIRL via la matrice plonge
</t>
        </r>
      </text>
    </comment>
    <comment ref="A19" authorId="1" shapeId="0">
      <text>
        <r>
          <rPr>
            <b/>
            <sz val="9"/>
            <color indexed="81"/>
            <rFont val="Tahoma"/>
            <family val="2"/>
          </rPr>
          <t>FIASSE Aurélien ADJ:</t>
        </r>
        <r>
          <rPr>
            <sz val="9"/>
            <color indexed="81"/>
            <rFont val="Tahoma"/>
            <family val="2"/>
          </rPr>
          <t xml:space="preserve">
Prise en compte de l'imprécision du besoin.</t>
        </r>
      </text>
    </comment>
    <comment ref="B19" authorId="1" shapeId="0">
      <text>
        <r>
          <rPr>
            <b/>
            <sz val="9"/>
            <color indexed="81"/>
            <rFont val="Tahoma"/>
            <family val="2"/>
          </rPr>
          <t>FIASSE Aurélien ADJ:</t>
        </r>
        <r>
          <rPr>
            <sz val="9"/>
            <color indexed="81"/>
            <rFont val="Tahoma"/>
            <family val="2"/>
          </rPr>
          <t xml:space="preserve">
(de +0% si tout est rempli à +15% si pas l'état des lieux, ni cadres réponses probants).
</t>
        </r>
        <r>
          <rPr>
            <b/>
            <sz val="9"/>
            <color indexed="81"/>
            <rFont val="Tahoma"/>
            <family val="2"/>
          </rPr>
          <t>Guillaume :
Va avoir une répercussion sur la cible horaire en B24 et aussi dans la colonne I du présent onglet.</t>
        </r>
      </text>
    </comment>
    <comment ref="B20" authorId="1" shapeId="0">
      <text>
        <r>
          <rPr>
            <b/>
            <sz val="9"/>
            <color indexed="81"/>
            <rFont val="Tahoma"/>
            <family val="2"/>
          </rPr>
          <t>FIASSE Aurélien ADJ:</t>
        </r>
        <r>
          <rPr>
            <sz val="9"/>
            <color indexed="81"/>
            <rFont val="Tahoma"/>
            <family val="2"/>
          </rPr>
          <t xml:space="preserve">
Quantité issue de l'onglet "ANX 1 - Descrip locaux - appd 1".
Tirée de la colonne calculant la surface de vitrerie. </t>
        </r>
      </text>
    </comment>
    <comment ref="L20" authorId="1" shapeId="0">
      <text>
        <r>
          <rPr>
            <b/>
            <sz val="9"/>
            <color indexed="81"/>
            <rFont val="Tahoma"/>
            <family val="2"/>
          </rPr>
          <t>FIASSE Aurélien ADJ:</t>
        </r>
        <r>
          <rPr>
            <sz val="9"/>
            <color indexed="81"/>
            <rFont val="Tahoma"/>
            <family val="2"/>
          </rPr>
          <t xml:space="preserve">
Montant de l'éventuel financement par le cercle pour la plonge batterie à la demande occasionnelle par exemple.</t>
        </r>
      </text>
    </comment>
    <comment ref="B24" authorId="1" shapeId="0">
      <text>
        <r>
          <rPr>
            <b/>
            <sz val="9"/>
            <color indexed="81"/>
            <rFont val="Tahoma"/>
            <family val="2"/>
          </rPr>
          <t>CIBLE HORAIRE / chiffre.
C'est le :
Total du nombre d'heures de travail nécessaires pour faire le nettoyage sur le site (issu de colonne "Volume horaire cible" (la toute dernière colonne grisée) de l'onglet "ANX 1 - Descrip locaux - appd 1" avec tous les POSTES confondus hormis la plonge), et avec diverses majorations (présent onglet).
Hormis la plonge parce que : 
Les heures de travail pour les locaux de plonge sont exclues du total d'heures de travail puisque (nous avons mis la valeur zéro pour la cadence pour les  locaux de plonge dans dans l'onglet "ANX 1 - Légende - appd 2")  le calcul d'heures pour cette nature de local est forcé sur la valeur zéro pour la colonne "Volume horaire cible" de l'onglet "ANX 1 - Descrip locaux".
Le calcul obtenu d'heures dans la présente case va servir pour estimer le montant des prestations programmées (forfaitaires) en case E29 du présent onglet.
On va y multiplier ce nombre d'heures par la valeur du coût de travail pour 1 heure. (la valeur coût de travail pour 1 heure est actualisée par le référent et se trouve dans l'onglet dédié). FIN.</t>
        </r>
      </text>
    </comment>
    <comment ref="D24" authorId="0" shapeId="0">
      <text>
        <r>
          <rPr>
            <b/>
            <sz val="9"/>
            <color indexed="81"/>
            <rFont val="Tahoma"/>
            <family val="2"/>
          </rPr>
          <t>Uniquement informatif.</t>
        </r>
        <r>
          <rPr>
            <sz val="9"/>
            <color indexed="81"/>
            <rFont val="Tahoma"/>
            <family val="2"/>
          </rPr>
          <t xml:space="preserve">
</t>
        </r>
      </text>
    </comment>
    <comment ref="H24" authorId="1" shapeId="0">
      <text>
        <r>
          <rPr>
            <b/>
            <sz val="9"/>
            <color indexed="81"/>
            <rFont val="Tahoma"/>
            <family val="2"/>
          </rPr>
          <t>FIASSE Aurélien ADJ:</t>
        </r>
        <r>
          <rPr>
            <sz val="9"/>
            <color indexed="81"/>
            <rFont val="Tahoma"/>
            <family val="2"/>
          </rPr>
          <t xml:space="preserve">
Montants total pour l'ensemble du marché pour chaque budget.
</t>
        </r>
      </text>
    </comment>
    <comment ref="B25" authorId="1" shapeId="0">
      <text>
        <r>
          <rPr>
            <b/>
            <sz val="9"/>
            <color indexed="81"/>
            <rFont val="Tahoma"/>
            <family val="2"/>
          </rPr>
          <t>SHON / chiffre.
Surface totale Brut (= le nombre de mètre carré que représente l'ensemble des POSTES).
donc = au Total de la colonne "Superficie sol" de l'onglet "ANX 1 - Descrip - appd 1" (tous les POSTES confondus). C'est la colonne "superficie" qui ne comprend encore aucun paramètre !
Les m2 brut des locaux de plonge sont inclus dedans.
Le SHON ne sert nul part dans les formules pour estimer.
C'est de l'informatif "stérile".
Ça peut juste être comparé avec le SHON de l'ancien marché. FIN.</t>
        </r>
        <r>
          <rPr>
            <sz val="9"/>
            <color indexed="81"/>
            <rFont val="Tahoma"/>
            <family val="2"/>
          </rPr>
          <t xml:space="preserve">
</t>
        </r>
      </text>
    </comment>
    <comment ref="D25" authorId="0" shapeId="0">
      <text>
        <r>
          <rPr>
            <b/>
            <sz val="9"/>
            <color indexed="81"/>
            <rFont val="Tahoma"/>
            <family val="2"/>
          </rPr>
          <t>Uniquement informatif.</t>
        </r>
        <r>
          <rPr>
            <sz val="9"/>
            <color indexed="81"/>
            <rFont val="Tahoma"/>
            <family val="2"/>
          </rPr>
          <t xml:space="preserve">
</t>
        </r>
      </text>
    </comment>
    <comment ref="H25" authorId="1" shapeId="0">
      <text>
        <r>
          <rPr>
            <b/>
            <sz val="9"/>
            <color indexed="81"/>
            <rFont val="Tahoma"/>
            <family val="2"/>
          </rPr>
          <t>FIASSE Aurélien ADJ:
Indique une erreur si la somme des budgets n'est pas égale au total "Plonge + NDL du marché. 
La formule utilisée (&lt;1) permet d'éviter les erreurs d'arrondi.
Permet aussi de voir si la colonne Poste et Budget de l'appendice 1 sont renseignées.</t>
        </r>
      </text>
    </comment>
    <comment ref="I25" authorId="0" shapeId="0">
      <text>
        <r>
          <rPr>
            <b/>
            <sz val="9"/>
            <color indexed="81"/>
            <rFont val="Tahoma"/>
            <family val="2"/>
          </rPr>
          <t>DIXMIER Guillaume SECR ADMI CLAS NOR:</t>
        </r>
        <r>
          <rPr>
            <sz val="9"/>
            <color indexed="81"/>
            <rFont val="Tahoma"/>
            <family val="2"/>
          </rPr>
          <t xml:space="preserve">
comprendre = "il faut autant d'heures pour réaliser le travail demandé".</t>
        </r>
      </text>
    </comment>
    <comment ref="B26" authorId="1" shapeId="0">
      <text>
        <r>
          <rPr>
            <b/>
            <u/>
            <sz val="9"/>
            <color indexed="81"/>
            <rFont val="Tahoma"/>
            <family val="2"/>
          </rPr>
          <t>m² nettoyés / chiffre :</t>
        </r>
        <r>
          <rPr>
            <b/>
            <sz val="9"/>
            <color indexed="81"/>
            <rFont val="Tahoma"/>
            <family val="2"/>
          </rPr>
          <t xml:space="preserve">
C'est la Surface totale brut nettoyée par AN tous POSTES confondus.
La surface brut nettoyée d'une salle c'est à titre d'exemple : je nettoie 2 fois la même salle mesurant au sol 10 m2 par an , je nettoie donc 20 m2 de surface brut par an.
Somme de la 1ère colonne grisée en fin d'onglet "ANX 1 - Descrip locaux - appd 1" = chacune des lignes représentent la surface X le nombre de passage pour le nettoyage.
Les m2 des locaux de plonge sont inclus dedans.
C'est réellement en terme de m2 ce qui va être effectivement nettoyé.
Encore une fois, le calcul obtenu dans cette case est superflu car il ne va pas être employé pour établir l'estimation.
C'est de l'informatif "stérile".
Ça peut juste être comparé avec la surface brut nettoyée de l'ancien marché. FIN.</t>
        </r>
      </text>
    </comment>
    <comment ref="D26" authorId="0" shapeId="0">
      <text>
        <r>
          <rPr>
            <b/>
            <sz val="9"/>
            <color indexed="81"/>
            <rFont val="Tahoma"/>
            <family val="2"/>
          </rPr>
          <t>Uniquement informatif.</t>
        </r>
        <r>
          <rPr>
            <sz val="9"/>
            <color indexed="81"/>
            <rFont val="Tahoma"/>
            <family val="2"/>
          </rPr>
          <t xml:space="preserve">
</t>
        </r>
      </text>
    </comment>
    <comment ref="L26" authorId="1" shapeId="0">
      <text>
        <r>
          <rPr>
            <b/>
            <u/>
            <sz val="9"/>
            <color indexed="81"/>
            <rFont val="Tahoma"/>
            <family val="2"/>
          </rPr>
          <t>Montant BUDGET GS</t>
        </r>
        <r>
          <rPr>
            <b/>
            <sz val="9"/>
            <color indexed="81"/>
            <rFont val="Tahoma"/>
            <family val="2"/>
          </rPr>
          <t xml:space="preserve">
En formulant "GS" :
- avec la cible horaires des prestations avec fréquence programmées de l'onglet "ANX 1 - Descrip locaux - appd 1" ;
+ prestations à la demande de l'onglet "Prest à la demande OCCA" ;
+ prestations à la demande de l'onglet "Prest à la demande HABI".</t>
        </r>
      </text>
    </comment>
    <comment ref="L27" authorId="1" shapeId="0">
      <text>
        <r>
          <rPr>
            <b/>
            <u/>
            <sz val="9"/>
            <color indexed="81"/>
            <rFont val="Tahoma"/>
            <family val="2"/>
          </rPr>
          <t>Montant BUDGET CERCLE</t>
        </r>
        <r>
          <rPr>
            <b/>
            <sz val="9"/>
            <color indexed="81"/>
            <rFont val="Tahoma"/>
            <family val="2"/>
          </rPr>
          <t xml:space="preserve">
En formulant "CERCLE" :
- avec la cible horaire des prestations avec fréquence programmées de l'onglet "ANX 1 - Descrip locaux - appd 1" ;
+ prestations à la demande de l'onglet "Prest à la demande OCCA" ;
+ prestations à la demande de l'onglet "Prest à la demande HABI".
Et en y ajoutant :
- le montant plonge financé sur les fonds propres du Cercle = cellule L20 du présent onglet.</t>
        </r>
      </text>
    </comment>
    <comment ref="L28" authorId="1" shapeId="0">
      <text>
        <r>
          <rPr>
            <b/>
            <u/>
            <sz val="9"/>
            <color indexed="81"/>
            <rFont val="Tahoma"/>
            <family val="2"/>
          </rPr>
          <t>Montant BUDGET CIRL</t>
        </r>
        <r>
          <rPr>
            <b/>
            <sz val="9"/>
            <color indexed="81"/>
            <rFont val="Tahoma"/>
            <family val="2"/>
          </rPr>
          <t xml:space="preserve">
Montant du financement CIRL indiqué ci-dessus en case L18 du présent onglet.</t>
        </r>
        <r>
          <rPr>
            <sz val="9"/>
            <color indexed="81"/>
            <rFont val="Tahoma"/>
            <family val="2"/>
          </rPr>
          <t xml:space="preserve">
</t>
        </r>
      </text>
    </comment>
    <comment ref="H31" authorId="1" shapeId="0">
      <text>
        <r>
          <rPr>
            <b/>
            <sz val="9"/>
            <color indexed="81"/>
            <rFont val="Tahoma"/>
            <family val="2"/>
          </rPr>
          <t>FIASSE Aurélien ADJ:
Indique une erreur si la somme des budgets n'est pas égale au total "Plonge + NDL du marché. 
La formule utilisée (&lt;1) permet d'éviter les erreurs d'arrondi.
Permet aussi de voir si la colonne Poste et Budget de l'appendice 1 sont renseignées.</t>
        </r>
      </text>
    </comment>
    <comment ref="I31" authorId="0" shapeId="0">
      <text>
        <r>
          <rPr>
            <b/>
            <sz val="9"/>
            <color indexed="81"/>
            <rFont val="Tahoma"/>
            <family val="2"/>
          </rPr>
          <t>DIXMIER Guillaume SECR ADMI CLAS NOR:</t>
        </r>
        <r>
          <rPr>
            <sz val="9"/>
            <color indexed="81"/>
            <rFont val="Tahoma"/>
            <family val="2"/>
          </rPr>
          <t xml:space="preserve">
comprendre = "il faut autant d'heures pour réaliser le travail demandé".</t>
        </r>
      </text>
    </comment>
    <comment ref="L32" authorId="1" shapeId="0">
      <text>
        <r>
          <rPr>
            <b/>
            <u/>
            <sz val="9"/>
            <color indexed="81"/>
            <rFont val="Tahoma"/>
            <family val="2"/>
          </rPr>
          <t>Montant POSTE 1</t>
        </r>
        <r>
          <rPr>
            <b/>
            <sz val="9"/>
            <color indexed="81"/>
            <rFont val="Tahoma"/>
            <family val="2"/>
          </rPr>
          <t xml:space="preserve">
En formulant "POSTE 1" avec :
- la cible horaire des prestations avec fréquence programmées de l'onglet "ANX 1 - Descrip locaux - appd 1" ;
+ prestations à la demande de l'onglet "Prest à la demande OCCA" ;
+ prestations à la demande de l'onglet "Prest à la demande HABI".</t>
        </r>
      </text>
    </comment>
    <comment ref="L33" authorId="1" shapeId="0">
      <text>
        <r>
          <rPr>
            <b/>
            <u/>
            <sz val="9"/>
            <color indexed="81"/>
            <rFont val="Tahoma"/>
            <family val="2"/>
          </rPr>
          <t>Montant POSTE 2</t>
        </r>
        <r>
          <rPr>
            <b/>
            <sz val="9"/>
            <color indexed="81"/>
            <rFont val="Tahoma"/>
            <family val="2"/>
          </rPr>
          <t xml:space="preserve">
En formulant "POSTE 2" avec :
- la cible horaire des prestations avec fréquence programmées de l'onglet "ANX 1 - Descrip locaux - appd 1" ;
+ prestations à la demande de l'onglet "Prest à la demande OCCA" ;
+ prestations à la demande de l'onglet "Prest à la demande HABI".
</t>
        </r>
      </text>
    </comment>
    <comment ref="L34" authorId="1" shapeId="0">
      <text>
        <r>
          <rPr>
            <b/>
            <u/>
            <sz val="9"/>
            <color indexed="81"/>
            <rFont val="Tahoma"/>
            <family val="2"/>
          </rPr>
          <t>Montant POSTE 3</t>
        </r>
        <r>
          <rPr>
            <b/>
            <sz val="9"/>
            <color indexed="81"/>
            <rFont val="Tahoma"/>
            <family val="2"/>
          </rPr>
          <t xml:space="preserve">
En formulant "POSTE 3" avec :
- la cible horaire des prestations avec fréquence programmées de l'onglet "ANX 1 - Descrip locaux - appd 1" ;
+ prestations à la demande de l'onglet "Prest à la demande OCCA" ;
+ prestations à la demande de l'onglet "Prest à la demande HABI".
Et en y ajoutant :
Montant du financement CIRL indiqué ci-dessus en case L18 du présent onglet.
+
Montant du financement CERCLE indiqué ci-dessus en case L20 du présent onglet.</t>
        </r>
      </text>
    </comment>
    <comment ref="H37" authorId="1" shapeId="0">
      <text>
        <r>
          <rPr>
            <b/>
            <sz val="9"/>
            <color indexed="81"/>
            <rFont val="Tahoma"/>
            <family val="2"/>
          </rPr>
          <t>FIASSE Aurélien ADJ:
Indique une erreur si la somme des budgets n'est pas égale au total "Plonge + NDL du marché. 
La formule utilisée (&lt;1) permet d'éviter les erreurs d'arrondi.
Permet aussi de voir si la colonne Poste et Budget de l'appendice 1 sont renseignées.</t>
        </r>
      </text>
    </comment>
    <comment ref="I37" authorId="0" shapeId="0">
      <text>
        <r>
          <rPr>
            <b/>
            <sz val="9"/>
            <color indexed="81"/>
            <rFont val="Tahoma"/>
            <family val="2"/>
          </rPr>
          <t>DIXMIER Guillaume SECR ADMI CLAS NOR:</t>
        </r>
        <r>
          <rPr>
            <sz val="9"/>
            <color indexed="81"/>
            <rFont val="Tahoma"/>
            <family val="2"/>
          </rPr>
          <t xml:space="preserve">
comprendre = "il faut autant d'heures pour réaliser le travail demandé".</t>
        </r>
      </text>
    </comment>
    <comment ref="L38" authorId="0" shapeId="0">
      <text>
        <r>
          <rPr>
            <b/>
            <u/>
            <sz val="9"/>
            <color indexed="81"/>
            <rFont val="Tahoma"/>
            <family val="2"/>
          </rPr>
          <t>Montant POSTE 1 / BUDGET GS</t>
        </r>
        <r>
          <rPr>
            <b/>
            <sz val="9"/>
            <color indexed="81"/>
            <rFont val="Tahoma"/>
            <family val="2"/>
          </rPr>
          <t xml:space="preserve">
En formulant "POSTE 1" et "GS" avec :
- la cible horaire des prestations avec fréquence programmées de l'onglet "ANX 1 - Descrip locaux - appd 1" ;
+ prestations à la demande de l'onglet "Prest à la demande OCCA" ;
+ prestations à la demande de l'onglet "Prest à la demande HABI".</t>
        </r>
        <r>
          <rPr>
            <sz val="9"/>
            <color indexed="81"/>
            <rFont val="Tahoma"/>
            <family val="2"/>
          </rPr>
          <t xml:space="preserve">
</t>
        </r>
      </text>
    </comment>
    <comment ref="L39" authorId="0" shapeId="0">
      <text>
        <r>
          <rPr>
            <b/>
            <u/>
            <sz val="9"/>
            <color indexed="81"/>
            <rFont val="Tahoma"/>
            <family val="2"/>
          </rPr>
          <t>Montant POSTE 1 / BUDGET CERCLE</t>
        </r>
        <r>
          <rPr>
            <b/>
            <sz val="9"/>
            <color indexed="81"/>
            <rFont val="Tahoma"/>
            <family val="2"/>
          </rPr>
          <t xml:space="preserve">
En formulant "POSTE 1" et "CERCLE" avec :
- la cible horaire des prestations avec fréquence programmées de l'onglet "ANX 1 - Descrip locaux - appd 1" ;
+ prestations à la demande de l'onglet "Prest à la demande OCCA" ;
+ prestations à la demande de l'onglet "Prest à la demande HABI".
</t>
        </r>
        <r>
          <rPr>
            <sz val="9"/>
            <color indexed="81"/>
            <rFont val="Tahoma"/>
            <family val="2"/>
          </rPr>
          <t xml:space="preserve">
</t>
        </r>
      </text>
    </comment>
    <comment ref="L40" authorId="0" shapeId="0">
      <text>
        <r>
          <rPr>
            <b/>
            <u/>
            <sz val="9"/>
            <color indexed="81"/>
            <rFont val="Tahoma"/>
            <family val="2"/>
          </rPr>
          <t>Montant POSTE 1 / BUDGET CIRL</t>
        </r>
        <r>
          <rPr>
            <b/>
            <sz val="9"/>
            <color indexed="81"/>
            <rFont val="Tahoma"/>
            <family val="2"/>
          </rPr>
          <t xml:space="preserve">
En formulant "POSTE 1" et "CIRL" avec :
- la cible horaire des prestations avec fréquence programmées de l'onglet "ANX 1 - Descrip locaux - appd 1".
</t>
        </r>
        <r>
          <rPr>
            <sz val="9"/>
            <color indexed="81"/>
            <rFont val="Tahoma"/>
            <family val="2"/>
          </rPr>
          <t xml:space="preserve">
</t>
        </r>
      </text>
    </comment>
    <comment ref="L41" authorId="0" shapeId="0">
      <text>
        <r>
          <rPr>
            <b/>
            <u/>
            <sz val="9"/>
            <color indexed="81"/>
            <rFont val="Tahoma"/>
            <family val="2"/>
          </rPr>
          <t>Montant POSTE 2 / BUDGET GS</t>
        </r>
        <r>
          <rPr>
            <b/>
            <sz val="9"/>
            <color indexed="81"/>
            <rFont val="Tahoma"/>
            <family val="2"/>
          </rPr>
          <t xml:space="preserve">
En formulant "POSTE 2" et "GS" avec :
- la cible horaire des prestations avec fréquence programmées de l'onglet "ANX 1 - Descrip locaux - appd 1" ;
+ prestations à la demande de l'onglet "Prest à la demande OCCA" ;
+prestations à la demande de l'onglet "Prest à la demande HABI".</t>
        </r>
        <r>
          <rPr>
            <sz val="9"/>
            <color indexed="81"/>
            <rFont val="Tahoma"/>
            <family val="2"/>
          </rPr>
          <t xml:space="preserve">
</t>
        </r>
      </text>
    </comment>
    <comment ref="L42" authorId="0" shapeId="0">
      <text>
        <r>
          <rPr>
            <b/>
            <u/>
            <sz val="9"/>
            <color indexed="81"/>
            <rFont val="Tahoma"/>
            <family val="2"/>
          </rPr>
          <t>Montant POSTE 2 / BUDGET CERCLE</t>
        </r>
        <r>
          <rPr>
            <b/>
            <sz val="9"/>
            <color indexed="81"/>
            <rFont val="Tahoma"/>
            <family val="2"/>
          </rPr>
          <t xml:space="preserve">
En formulant "POSTE 2" et "CERCLE" avec :
- la cible horaire des prestations avec fréquence programmées de l'onglet "ANX 1 - Descrip locaux - appd 1" ;
+ prestations à la demande de l'onglet "Prest à la demande OCCA" ;
+ prestations à la demande de l'onglet "Prest à la demande HABI".</t>
        </r>
      </text>
    </comment>
    <comment ref="L43" authorId="0" shapeId="0">
      <text>
        <r>
          <rPr>
            <b/>
            <u/>
            <sz val="9"/>
            <color indexed="81"/>
            <rFont val="Tahoma"/>
            <family val="2"/>
          </rPr>
          <t>Montant POSTE 3 / BUDGET GS</t>
        </r>
        <r>
          <rPr>
            <b/>
            <sz val="9"/>
            <color indexed="81"/>
            <rFont val="Tahoma"/>
            <family val="2"/>
          </rPr>
          <t xml:space="preserve">
En formulant "POSTE 3" et "GS" avec :
- la cible horaire des prestations avec fréquence programmées de l'onglet "ANX 1 - Descrip locaux - appd 1" ;
+ prestations à la demande de l'onglet "Prest à la demande OCCA" ;
+ prestations à la demande de l'onglet "Prest à la demande HABI".</t>
        </r>
        <r>
          <rPr>
            <sz val="9"/>
            <color indexed="81"/>
            <rFont val="Tahoma"/>
            <family val="2"/>
          </rPr>
          <t xml:space="preserve">
</t>
        </r>
      </text>
    </comment>
    <comment ref="L44" authorId="1" shapeId="0">
      <text>
        <r>
          <rPr>
            <b/>
            <u/>
            <sz val="9"/>
            <color indexed="81"/>
            <rFont val="Tahoma"/>
            <family val="2"/>
          </rPr>
          <t>Montant POSTE 3 / BUDGET CERCLE</t>
        </r>
        <r>
          <rPr>
            <b/>
            <sz val="9"/>
            <color indexed="81"/>
            <rFont val="Tahoma"/>
            <family val="2"/>
          </rPr>
          <t xml:space="preserve">
En formulant "POSTE 3" et "CERCLE" avec :
- la cible horaire des prestations avec fréquence programmées de l'onglet "ANX 1 - Descrip locaux - appd 1" ;
+ prestations à la demande de l'onglet "Prest à la demande OCCA" ;
+ prestations à la demande de l'onglet "Prest à la demande HABI".
Et en y ajoutant :
- le montant plonge financé sur les fonds propres du Cercle = cellule L20 du présent onglet.</t>
        </r>
      </text>
    </comment>
    <comment ref="L45" authorId="0" shapeId="0">
      <text>
        <r>
          <rPr>
            <b/>
            <u/>
            <sz val="9"/>
            <color indexed="81"/>
            <rFont val="Tahoma"/>
            <family val="2"/>
          </rPr>
          <t>Montant POSTE 3 / BUDGET CIRL</t>
        </r>
        <r>
          <rPr>
            <b/>
            <sz val="9"/>
            <color indexed="81"/>
            <rFont val="Tahoma"/>
            <family val="2"/>
          </rPr>
          <t xml:space="preserve">
Montant du financement CIRL indiqué ci-dessus en case L18 du présent onglet.</t>
        </r>
        <r>
          <rPr>
            <sz val="9"/>
            <color indexed="81"/>
            <rFont val="Tahoma"/>
            <family val="2"/>
          </rPr>
          <t xml:space="preserve">
</t>
        </r>
      </text>
    </comment>
    <comment ref="D49" authorId="0" shapeId="0">
      <text>
        <r>
          <rPr>
            <b/>
            <sz val="9"/>
            <color indexed="81"/>
            <rFont val="Tahoma"/>
            <family val="2"/>
          </rPr>
          <t>Uniquement informatif.</t>
        </r>
        <r>
          <rPr>
            <sz val="9"/>
            <color indexed="81"/>
            <rFont val="Tahoma"/>
            <family val="2"/>
          </rPr>
          <t xml:space="preserve">
</t>
        </r>
      </text>
    </comment>
    <comment ref="D50" authorId="0" shapeId="0">
      <text>
        <r>
          <rPr>
            <b/>
            <sz val="9"/>
            <color indexed="81"/>
            <rFont val="Tahoma"/>
            <family val="2"/>
          </rPr>
          <t>Uniquement informatif.</t>
        </r>
        <r>
          <rPr>
            <sz val="9"/>
            <color indexed="81"/>
            <rFont val="Tahoma"/>
            <family val="2"/>
          </rPr>
          <t xml:space="preserve">
</t>
        </r>
      </text>
    </comment>
    <comment ref="H50" authorId="0" shapeId="0">
      <text>
        <r>
          <rPr>
            <b/>
            <sz val="9"/>
            <color indexed="81"/>
            <rFont val="Tahoma"/>
            <family val="2"/>
          </rPr>
          <t>FIASSE Aurélien ADJ:
Indique une erreur si la somme des budgets n'est pas égale au total "Plonge + NDL du marché. 
La formule utilisée (&lt;1) permet d'éviter les erreurs d'arrondi.
Permet aussi de voir si la colonne Poste et Budget de l'appendice 1 sont renseignées.</t>
        </r>
      </text>
    </comment>
    <comment ref="D51" authorId="0" shapeId="0">
      <text>
        <r>
          <rPr>
            <b/>
            <sz val="9"/>
            <color indexed="81"/>
            <rFont val="Tahoma"/>
            <family val="2"/>
          </rPr>
          <t>Uniquement informatif.</t>
        </r>
        <r>
          <rPr>
            <sz val="9"/>
            <color indexed="81"/>
            <rFont val="Tahoma"/>
            <family val="2"/>
          </rPr>
          <t xml:space="preserve">
</t>
        </r>
      </text>
    </comment>
    <comment ref="F54" authorId="1" shapeId="0">
      <text>
        <r>
          <rPr>
            <b/>
            <sz val="9"/>
            <color indexed="81"/>
            <rFont val="Tahoma"/>
            <family val="2"/>
          </rPr>
          <t>FIASSE Aurélien ADJ:</t>
        </r>
        <r>
          <rPr>
            <sz val="9"/>
            <color indexed="81"/>
            <rFont val="Tahoma"/>
            <family val="2"/>
          </rPr>
          <t xml:space="preserve">
Ce taux permet de calculer le montant des prestations à 12/20 par rapport aux chiffres indiqués dans les prestations à 20/20
à renseigner par le référent NDL de la PFC.
</t>
        </r>
      </text>
    </comment>
    <comment ref="H56" authorId="0" shapeId="0">
      <text>
        <r>
          <rPr>
            <b/>
            <sz val="9"/>
            <color indexed="81"/>
            <rFont val="Tahoma"/>
            <family val="2"/>
          </rPr>
          <t>FIASSE Aurélien ADJ:
Indique une erreur si la somme des budgets n'est pas égale au total "Plonge + NDL du marché. 
La formule utilisée (&lt;1) permet d'éviter les erreurs d'arrondi.
Permet aussi de voir si la colonne Poste et Budget de l'appendice 1 sont renseignées.</t>
        </r>
      </text>
    </comment>
    <comment ref="H62" authorId="0" shapeId="0">
      <text>
        <r>
          <rPr>
            <b/>
            <sz val="9"/>
            <color indexed="81"/>
            <rFont val="Tahoma"/>
            <family val="2"/>
          </rPr>
          <t>FIASSE Aurélien ADJ:
Indique une erreur si la somme des budgets n'est pas égale au total "Plonge + NDL du marché. 
La formule utilisée (&lt;1) permet d'éviter les erreurs d'arrondi.
Permet aussi de voir si la colonne Poste et Budget de l'appendice 1 sont renseignées.</t>
        </r>
      </text>
    </comment>
  </commentList>
</comments>
</file>

<file path=xl/comments7.xml><?xml version="1.0" encoding="utf-8"?>
<comments xmlns="http://schemas.openxmlformats.org/spreadsheetml/2006/main">
  <authors>
    <author>Auteur</author>
    <author>DIXMIER Guillaume SECR ADMI CLAS NOR</author>
  </authors>
  <commentList>
    <comment ref="G8" authorId="0" shapeId="0">
      <text>
        <r>
          <rPr>
            <b/>
            <sz val="9"/>
            <color indexed="81"/>
            <rFont val="Tahoma"/>
            <family val="2"/>
          </rPr>
          <t>TIENT COMPTE DE LA DURÉE TOTALE DU MARCHÉ INDIQUÉE DANS LA CASE DÉDIÉE</t>
        </r>
      </text>
    </comment>
    <comment ref="N8" authorId="0" shapeId="0">
      <text>
        <r>
          <rPr>
            <b/>
            <sz val="9"/>
            <color indexed="81"/>
            <rFont val="Tahoma"/>
            <family val="2"/>
          </rPr>
          <t>TIENT COMPTE DE LA DURÉE TOTALE DU MARCHÉ INDIQUÉE DANS LA CASE DÉDIÉE</t>
        </r>
      </text>
    </comment>
    <comment ref="F18" authorId="1" shapeId="0">
      <text>
        <r>
          <rPr>
            <b/>
            <sz val="9"/>
            <color indexed="81"/>
            <rFont val="Tahoma"/>
            <family val="2"/>
          </rPr>
          <t>DIXMIER Guillaume SECR ADMI CLAS NOR:</t>
        </r>
        <r>
          <rPr>
            <sz val="9"/>
            <color indexed="81"/>
            <rFont val="Tahoma"/>
            <family val="2"/>
          </rPr>
          <t xml:space="preserve">
Ne pas être plus royaliste que le roi = le montant de l'enveloppe du CIRL sera notre montant cible.
Les gains seront calculés sur cette base pour ce qui concerne le poste 3.
</t>
        </r>
      </text>
    </comment>
    <comment ref="L18" authorId="1" shapeId="0">
      <text>
        <r>
          <rPr>
            <b/>
            <sz val="9"/>
            <color indexed="81"/>
            <rFont val="Tahoma"/>
            <family val="2"/>
          </rPr>
          <t>DIXMIER Guillaume SECR ADMI CLAS NOR:</t>
        </r>
        <r>
          <rPr>
            <sz val="9"/>
            <color indexed="81"/>
            <rFont val="Tahoma"/>
            <family val="2"/>
          </rPr>
          <t xml:space="preserve">
Ne pas être plus royaliste que le roi = le montant de l'enveloppe du CIRL sera notre montant cible.
Les gains seront calculés sur cette base pour ce qui concerne le poste 3.
</t>
        </r>
      </text>
    </comment>
    <comment ref="G20" authorId="0" shapeId="0">
      <text>
        <r>
          <rPr>
            <b/>
            <sz val="9"/>
            <color indexed="81"/>
            <rFont val="Tahoma"/>
            <family val="2"/>
          </rPr>
          <t>TIENT COMPTE DE LA DURÉE TOTALE DU MARCHÉ INDIQUÉE DANS LA CASE DÉDIÉE</t>
        </r>
      </text>
    </comment>
    <comment ref="N20" authorId="0" shapeId="0">
      <text>
        <r>
          <rPr>
            <b/>
            <sz val="9"/>
            <color indexed="81"/>
            <rFont val="Tahoma"/>
            <family val="2"/>
          </rPr>
          <t>TIENT COMPTE DE LA DURÉE TOTALE DU MARCHÉ INDIQUÉE DANS LA CASE DÉDIÉE</t>
        </r>
      </text>
    </comment>
  </commentList>
</comments>
</file>

<file path=xl/sharedStrings.xml><?xml version="1.0" encoding="utf-8"?>
<sst xmlns="http://schemas.openxmlformats.org/spreadsheetml/2006/main" count="1333" uniqueCount="507">
  <si>
    <t>SHON</t>
  </si>
  <si>
    <t xml:space="preserve">soit </t>
  </si>
  <si>
    <t>(A) Salle de réunion</t>
  </si>
  <si>
    <t>Bâtiment</t>
  </si>
  <si>
    <t>Nature</t>
  </si>
  <si>
    <t>Nbr Fenêtre</t>
  </si>
  <si>
    <t xml:space="preserve">Nature sol </t>
  </si>
  <si>
    <t>Encombrement</t>
  </si>
  <si>
    <t>%</t>
  </si>
  <si>
    <t>Vétusté</t>
  </si>
  <si>
    <t>Nbr de passage par an</t>
  </si>
  <si>
    <t>Fréquence de passage minimum dans le local</t>
  </si>
  <si>
    <t>Cadence de référence (m²/H)</t>
  </si>
  <si>
    <t>Volume horaire cible (H)</t>
  </si>
  <si>
    <t>(B) Bureau</t>
  </si>
  <si>
    <t>(PL) Locaux de plonge</t>
  </si>
  <si>
    <t>Carrelage</t>
  </si>
  <si>
    <t>Néant</t>
  </si>
  <si>
    <t>Normal</t>
  </si>
  <si>
    <t>(C) Commun</t>
  </si>
  <si>
    <t>(V) Locaux vie</t>
  </si>
  <si>
    <t>(M) Médical</t>
  </si>
  <si>
    <t>(S) Sanitaire</t>
  </si>
  <si>
    <t>(SP) Salle de sport</t>
  </si>
  <si>
    <t>Neuf</t>
  </si>
  <si>
    <t>(H) Hébergement</t>
  </si>
  <si>
    <t>M</t>
  </si>
  <si>
    <t>B</t>
  </si>
  <si>
    <t>(T) Trismestiel</t>
  </si>
  <si>
    <t>T</t>
  </si>
  <si>
    <t>Béton</t>
  </si>
  <si>
    <t>(A) Annuel</t>
  </si>
  <si>
    <t>A</t>
  </si>
  <si>
    <t>Plastique</t>
  </si>
  <si>
    <t>Parquet</t>
  </si>
  <si>
    <t>Moquette</t>
  </si>
  <si>
    <t>Tapis</t>
  </si>
  <si>
    <t>Ciré</t>
  </si>
  <si>
    <t>Vitrifié</t>
  </si>
  <si>
    <t>Huilé</t>
  </si>
  <si>
    <t>Métallisé</t>
  </si>
  <si>
    <t>Peint</t>
  </si>
  <si>
    <t>Vétuste</t>
  </si>
  <si>
    <t>TVA</t>
  </si>
  <si>
    <t>Produits</t>
  </si>
  <si>
    <t>Matériels</t>
  </si>
  <si>
    <t>Nettoyage des parois blanches à hauteur de 3 m.</t>
  </si>
  <si>
    <t>(*) CAS DES REMISES A BLANC - Les opérations traditionnelles seront complétées par (selon le type de sol et mobilier présent) :</t>
  </si>
  <si>
    <t>(SR) Salle de restauration</t>
  </si>
  <si>
    <t>(LP) Locaux poubelles</t>
  </si>
  <si>
    <t>(M) Mensuel</t>
  </si>
  <si>
    <t>Montant HT</t>
  </si>
  <si>
    <t>Montant TTC</t>
  </si>
  <si>
    <t>Résine</t>
  </si>
  <si>
    <t>HT</t>
  </si>
  <si>
    <t>TTC</t>
  </si>
  <si>
    <t>Prestation à 20/20</t>
  </si>
  <si>
    <t>Prix HT à l'heure (hors congé / encadrement local)</t>
  </si>
  <si>
    <t xml:space="preserve">Prix TTC à l'heure </t>
  </si>
  <si>
    <t>Prestation à 12/20</t>
  </si>
  <si>
    <t>Inflation prévue</t>
  </si>
  <si>
    <t>Budget</t>
  </si>
  <si>
    <t>Cercle</t>
  </si>
  <si>
    <t>CIRL</t>
  </si>
  <si>
    <t>Cible horaire</t>
  </si>
  <si>
    <t>Nature Sol</t>
  </si>
  <si>
    <t>GS</t>
  </si>
  <si>
    <t>Nature des locaux</t>
  </si>
  <si>
    <t>POSTE 1</t>
  </si>
  <si>
    <t>POSTE 2</t>
  </si>
  <si>
    <t>Poste</t>
  </si>
  <si>
    <t>Marge</t>
  </si>
  <si>
    <t>(C.Bis) Commun</t>
  </si>
  <si>
    <t>(S.Bis) Sanitaires</t>
  </si>
  <si>
    <t>(B.Bis) Bureau</t>
  </si>
  <si>
    <t>Montant du smic</t>
  </si>
  <si>
    <t>Montant annuel TTC de l'ancien marché</t>
  </si>
  <si>
    <t>Prestation à 20/20 - Tous les montants sont annuels</t>
  </si>
  <si>
    <t>Prestation à 12/20 - Tous les montants sont annuels</t>
  </si>
  <si>
    <t>Données spécifiques au marché</t>
  </si>
  <si>
    <t>Montant plonge financé par le CIRL TTC</t>
  </si>
  <si>
    <t>Montant plonge financé par le cercle TTC</t>
  </si>
  <si>
    <t>Majoration pour risque</t>
  </si>
  <si>
    <t>Majoration pour déplacements</t>
  </si>
  <si>
    <t>Durée en mois du projet de marché</t>
  </si>
  <si>
    <t>Mixte</t>
  </si>
  <si>
    <t>Données à modifier uniquement par le référent NDL de la PFC. Les dernières données à jour sont dans le modèle avalisé sur PIDAP.</t>
  </si>
  <si>
    <t>Volume horaire</t>
  </si>
  <si>
    <t>m² nettoyés</t>
  </si>
  <si>
    <t>Montant de référence sur la durée totale du marché</t>
  </si>
  <si>
    <t>Montant de référence annuel</t>
  </si>
  <si>
    <t>Prix UNITAIRE</t>
  </si>
  <si>
    <t>PRIX UNITAIRE</t>
  </si>
  <si>
    <t>UNITÉ D’OEUVRE</t>
  </si>
  <si>
    <t>Prix de référence HT à titre indicatif
(par unité d'œuvre)</t>
  </si>
  <si>
    <t>Prix de référence TTC à titre indicatif
(par unité d'œuvre)</t>
  </si>
  <si>
    <t>Somme opération 
HT</t>
  </si>
  <si>
    <t>Somme opération
TTC</t>
  </si>
  <si>
    <t>BUDGET CERCLE / POSTE 2</t>
  </si>
  <si>
    <t>Total HT :</t>
  </si>
  <si>
    <t>Total TTC :</t>
  </si>
  <si>
    <t>101</t>
  </si>
  <si>
    <t>102</t>
  </si>
  <si>
    <t>1 - ANCIEN(S) MARCHÉ(S)</t>
  </si>
  <si>
    <t>2 - MONTANT DE RÉFÉRENCE</t>
  </si>
  <si>
    <t>3 - ESTIMATION DU BESOIN EXPRIMÉ</t>
  </si>
  <si>
    <t>CIBLE horaire (sans m² de POSTE 3)</t>
  </si>
  <si>
    <t>SHON (comprend les m² de POSTE 3 si onglet Description locaux contient du POSTE 3)</t>
  </si>
  <si>
    <t>m² nettoyés (avec m² de POSTE 3 si onglet Description locaux contient du POSTE 3)</t>
  </si>
  <si>
    <t xml:space="preserve">mois </t>
  </si>
  <si>
    <t>MOIS DANS 1 AN</t>
  </si>
  <si>
    <t>AN(S)</t>
  </si>
  <si>
    <t>TAUX DE GAINS CIBLE</t>
  </si>
  <si>
    <t>TAUX DE TVA</t>
  </si>
  <si>
    <t>Montant CIBLE</t>
  </si>
  <si>
    <t xml:space="preserve">ANNUEL HT </t>
  </si>
  <si>
    <t>ANNUEL HT</t>
  </si>
  <si>
    <t>ANNUEL TTC</t>
  </si>
  <si>
    <t xml:space="preserve">Couverture financière
</t>
  </si>
  <si>
    <t>→ Montant de Référence = 
grille NDL 
avec paramètres actualisés
Report des Besoins exprimés :
"prestations programmées" 
"prestations à la demande"</t>
  </si>
  <si>
    <t>TOTAL HT</t>
  </si>
  <si>
    <t xml:space="preserve">TOTAL  </t>
  </si>
  <si>
    <t>REPRISE EN ROUGE de</t>
  </si>
  <si>
    <t>SITES :</t>
  </si>
  <si>
    <t>POSTE 3</t>
  </si>
  <si>
    <t>002</t>
  </si>
  <si>
    <t>021</t>
  </si>
  <si>
    <t xml:space="preserve">043 </t>
  </si>
  <si>
    <t>044</t>
  </si>
  <si>
    <t>216</t>
  </si>
  <si>
    <t>217</t>
  </si>
  <si>
    <t>219</t>
  </si>
  <si>
    <t>220</t>
  </si>
  <si>
    <t>221</t>
  </si>
  <si>
    <t>222</t>
  </si>
  <si>
    <t>223</t>
  </si>
  <si>
    <t>224</t>
  </si>
  <si>
    <t>225</t>
  </si>
  <si>
    <t>226</t>
  </si>
  <si>
    <t>227</t>
  </si>
  <si>
    <t>228</t>
  </si>
  <si>
    <t>229</t>
  </si>
  <si>
    <t>230</t>
  </si>
  <si>
    <t>025</t>
  </si>
  <si>
    <t>001</t>
  </si>
  <si>
    <t>66 + 067</t>
  </si>
  <si>
    <t>046</t>
  </si>
  <si>
    <t>301</t>
  </si>
  <si>
    <t>302</t>
  </si>
  <si>
    <t>303</t>
  </si>
  <si>
    <t>304</t>
  </si>
  <si>
    <t>305</t>
  </si>
  <si>
    <t>306</t>
  </si>
  <si>
    <t>307</t>
  </si>
  <si>
    <t>308</t>
  </si>
  <si>
    <t>309</t>
  </si>
  <si>
    <t>310</t>
  </si>
  <si>
    <t>311</t>
  </si>
  <si>
    <t>312</t>
  </si>
  <si>
    <t>313</t>
  </si>
  <si>
    <t>314</t>
  </si>
  <si>
    <t xml:space="preserve"> 050</t>
  </si>
  <si>
    <t>048</t>
  </si>
  <si>
    <t>401</t>
  </si>
  <si>
    <t>402</t>
  </si>
  <si>
    <t>403</t>
  </si>
  <si>
    <t>404</t>
  </si>
  <si>
    <t>405</t>
  </si>
  <si>
    <t>406</t>
  </si>
  <si>
    <t>407</t>
  </si>
  <si>
    <t>408</t>
  </si>
  <si>
    <t>409</t>
  </si>
  <si>
    <t>410</t>
  </si>
  <si>
    <t>411</t>
  </si>
  <si>
    <t>412</t>
  </si>
  <si>
    <t>413</t>
  </si>
  <si>
    <t>414</t>
  </si>
  <si>
    <t>415</t>
  </si>
  <si>
    <t>416</t>
  </si>
  <si>
    <t>417</t>
  </si>
  <si>
    <t xml:space="preserve">062 </t>
  </si>
  <si>
    <t>001 + 050</t>
  </si>
  <si>
    <t>023 + 002</t>
  </si>
  <si>
    <t>42 + 45 + 54 + 55</t>
  </si>
  <si>
    <t>001 + 002 + 019 + 040</t>
  </si>
  <si>
    <t>01 + 03 + 22 + 43</t>
  </si>
  <si>
    <t>Eau sans savon</t>
  </si>
  <si>
    <t xml:space="preserve"> </t>
  </si>
  <si>
    <t>Escalier / cage d'escalier.</t>
  </si>
  <si>
    <t>Local ménage.</t>
  </si>
  <si>
    <t>Réserve.</t>
  </si>
  <si>
    <t>Réserve linge.</t>
  </si>
  <si>
    <t>Cage d'escalier.</t>
  </si>
  <si>
    <t>Couloir.</t>
  </si>
  <si>
    <t>Sanitaire ménage.</t>
  </si>
  <si>
    <t>Lingerie et sanitaire attenant.</t>
  </si>
  <si>
    <t>Escalier / Cage d'escalier.</t>
  </si>
  <si>
    <t>Couloir / cage escalier.</t>
  </si>
  <si>
    <t>DÉSIGNATION LOCAL</t>
  </si>
  <si>
    <t>Succursale Broglie / Hôtellerie / 17, place Broglie 67000 STRASBOURG</t>
  </si>
  <si>
    <t>Carrelage + Moquette</t>
  </si>
  <si>
    <t>Carrelage + Parquet</t>
  </si>
  <si>
    <t>Carrelage + PVC</t>
  </si>
  <si>
    <t>Salle de bain / WC séparés / Chambre suite.</t>
  </si>
  <si>
    <t>Salle de bain / WC séparés.</t>
  </si>
  <si>
    <t>1 salle de bain avec WC.</t>
  </si>
  <si>
    <t>1 salle de bain avec WC / Balcon.</t>
  </si>
  <si>
    <t>Salle de bain / WC séparés / Balcon.</t>
  </si>
  <si>
    <t>BROGLIE : 3 poubelles tri sélectif bio-déchets + 3 containers cartons + 1 benne à verre + 6 containers vrac.</t>
  </si>
  <si>
    <t>218</t>
  </si>
  <si>
    <t>LA CHAMBRE</t>
  </si>
  <si>
    <t>LA SUITE</t>
  </si>
  <si>
    <t>LE LIT</t>
  </si>
  <si>
    <t>1 fois par an</t>
  </si>
  <si>
    <t>1 fois par trimestre</t>
  </si>
  <si>
    <t>1 fois tous les 2 mois</t>
  </si>
  <si>
    <t>1 fois par mois</t>
  </si>
  <si>
    <t>(BM) 2 fois par mois</t>
  </si>
  <si>
    <t>BM</t>
  </si>
  <si>
    <t>2 fois par mois</t>
  </si>
  <si>
    <t>(M3) 3 fois par mois</t>
  </si>
  <si>
    <t>M3</t>
  </si>
  <si>
    <t>3 fois par mois</t>
  </si>
  <si>
    <t>(H50-1) Hebdomadaire : 50 semaines par an -
1 fois par semaine</t>
  </si>
  <si>
    <t>H50-1</t>
  </si>
  <si>
    <t>1 fois par semaine
avec 2 semaines de fermeture/an)</t>
  </si>
  <si>
    <t>(H50-2) Hebdomadaire : 50 semaines par an -
2 fois par semaine</t>
  </si>
  <si>
    <t>H50-2</t>
  </si>
  <si>
    <t>2 fois par semaine
avec 2 semaines de fermeture/an)</t>
  </si>
  <si>
    <t>(H50-3) Hebdomadaire : 50 semaines par an -
3 fois par semaine</t>
  </si>
  <si>
    <t>H50-3</t>
  </si>
  <si>
    <t>3 fois par semaine
avec 2 semaines de fermeture/an)</t>
  </si>
  <si>
    <t>(H50-4) Hebdomadaire : 50 semaines par an -
4 fois par semaine</t>
  </si>
  <si>
    <t>H50-4</t>
  </si>
  <si>
    <t>4 fois par semaine
avec 2 semaines de fermeture/an)</t>
  </si>
  <si>
    <t>(Q1-5-H50) Quotidien : 1 fois par jour -
5 jours par semaines - 50 semaines par an</t>
  </si>
  <si>
    <t>Q1-5-H50</t>
  </si>
  <si>
    <t>du lundi au vendredi inclus
avec 2 semaines de fermeture/an</t>
  </si>
  <si>
    <t>(Q2-5-H50) Quotidien : 2 fois par jour -
5 jours par semaines - 50 semaines par an</t>
  </si>
  <si>
    <t>Q2-5-H50</t>
  </si>
  <si>
    <t>(Q3-5-H50) Quotidien : 3 fois par jour -
5 jours par semaines - 50 semaines par an</t>
  </si>
  <si>
    <t>Q3-5-H50</t>
  </si>
  <si>
    <t>(Q1-6-H50) Quotidien : 1 fois par jour -
6 jours par semaines - 50 semaines par an</t>
  </si>
  <si>
    <t>Q1-6-H50</t>
  </si>
  <si>
    <t>du lundi au samedi inclus
avec 2 semaines de fermeture/an</t>
  </si>
  <si>
    <t>(Q1-7-H50) Quotidien : 1 fois par jour -
7 jours par semaines - 50 semaines par an</t>
  </si>
  <si>
    <t>Q1-7-H50</t>
  </si>
  <si>
    <t>du lundi au dimanche inclus
avec 2 semaines de fermeture/an</t>
  </si>
  <si>
    <t>(Q1-7-H52) Quotidien : 1 fois par jour -
7 jours par semaines - 52 semaines par an</t>
  </si>
  <si>
    <t>Q1-7-H52</t>
  </si>
  <si>
    <t>du lundi au dimanche inclus</t>
  </si>
  <si>
    <t>(H52) Hebdomadaire : 52 semaines par an -
1 fois par semaine</t>
  </si>
  <si>
    <t>H52</t>
  </si>
  <si>
    <t>1 fois par semaine</t>
  </si>
  <si>
    <t>1 salle de bain avec WC / Chambre suite si couplée avec n°219 via couloir dédié.</t>
  </si>
  <si>
    <t>1 salle de bain avec WC / Chambre suite si couplée avec n°218 via couloir dédié / 1 canapé-lit.</t>
  </si>
  <si>
    <t>Salle de bain / WC séparés / 1 canapé-lit.</t>
  </si>
  <si>
    <t>1 salle de bain avec WC / 1 canapé-lit.</t>
  </si>
  <si>
    <t>1 salle de bain avec WC / 2 canapés-lit.</t>
  </si>
  <si>
    <t>1 salle de bain avec WC / 1 canapé-lit / balcon.</t>
  </si>
  <si>
    <t>DAF_2025_000478</t>
  </si>
  <si>
    <t>État initial</t>
  </si>
  <si>
    <t>Étage</t>
  </si>
  <si>
    <t xml:space="preserve">ANNEXE 1 au CCTP </t>
  </si>
  <si>
    <t>DESCRIPTION DES LOCAUX</t>
  </si>
  <si>
    <t>Appendice 1</t>
  </si>
  <si>
    <t>Gestion des déchets :</t>
  </si>
  <si>
    <r>
      <t xml:space="preserve">Surface des vitres </t>
    </r>
    <r>
      <rPr>
        <sz val="12"/>
        <color indexed="8"/>
        <rFont val="Arial"/>
        <family val="2"/>
      </rPr>
      <t>(m</t>
    </r>
    <r>
      <rPr>
        <vertAlign val="superscript"/>
        <sz val="12"/>
        <color indexed="8"/>
        <rFont val="Arial"/>
        <family val="2"/>
      </rPr>
      <t>2</t>
    </r>
    <r>
      <rPr>
        <sz val="12"/>
        <color indexed="8"/>
        <rFont val="Arial"/>
        <family val="2"/>
      </rPr>
      <t>)</t>
    </r>
  </si>
  <si>
    <t>Faire rectifier les erreurs + vérifier si les valeurs à zéro sont justifiées.</t>
  </si>
  <si>
    <t>Superficie nettoyée à l'année (m²)</t>
  </si>
  <si>
    <t>brute</t>
  </si>
  <si>
    <t>de référence (pondération selon encombrement et vétusté)</t>
  </si>
  <si>
    <t>Appendice 2</t>
  </si>
  <si>
    <t>LOCAUX TERTIAIRES</t>
  </si>
  <si>
    <t>LOCAUX PLONGE</t>
  </si>
  <si>
    <t>CERCLE</t>
  </si>
  <si>
    <t>Traitement Sol</t>
  </si>
  <si>
    <t>Faible</t>
  </si>
  <si>
    <t>Fort</t>
  </si>
  <si>
    <t>Fréquence de passage en clair.</t>
  </si>
  <si>
    <t>ABRÉVIATION</t>
  </si>
  <si>
    <t>Nombre de passage par an</t>
  </si>
  <si>
    <t>Précisions périodes : de passage + de fermeture.</t>
  </si>
  <si>
    <r>
      <t xml:space="preserve">SIMULATION DE COMMANDE DES PRESTATIONS à la demande </t>
    </r>
    <r>
      <rPr>
        <b/>
        <u/>
        <sz val="28"/>
        <color rgb="FFFF0000"/>
        <rFont val="Arial"/>
        <family val="2"/>
      </rPr>
      <t>OCCASIONNELLES</t>
    </r>
    <r>
      <rPr>
        <b/>
        <sz val="20"/>
        <color rgb="FFFF0000"/>
        <rFont val="Arial"/>
        <family val="2"/>
      </rPr>
      <t xml:space="preserve"> au profit du LOT.</t>
    </r>
  </si>
  <si>
    <t>i 6</t>
  </si>
  <si>
    <t>m 6</t>
  </si>
  <si>
    <t>q 6</t>
  </si>
  <si>
    <t>u 6</t>
  </si>
  <si>
    <t>y 6</t>
  </si>
  <si>
    <t>ac 6</t>
  </si>
  <si>
    <r>
      <t xml:space="preserve">Les commandes réelles seront faites aux prix obtenus, </t>
    </r>
    <r>
      <rPr>
        <b/>
        <u/>
        <sz val="16"/>
        <rFont val="Arial"/>
        <family val="2"/>
      </rPr>
      <t>dans la limite des montants contractuels maximum fixés.</t>
    </r>
  </si>
  <si>
    <t>BUDGET GS</t>
  </si>
  <si>
    <t>BUDGET CERCLE</t>
  </si>
  <si>
    <t>OPÉRATIONS</t>
  </si>
  <si>
    <t>QTÉS ESTIMATIVES</t>
  </si>
  <si>
    <t>Aspiration des chaises en tissus.</t>
  </si>
  <si>
    <r>
      <t>Pièce</t>
    </r>
    <r>
      <rPr>
        <vertAlign val="superscript"/>
        <sz val="7"/>
        <color theme="1"/>
        <rFont val="Arial"/>
        <family val="2"/>
      </rPr>
      <t xml:space="preserve">⁰ </t>
    </r>
    <r>
      <rPr>
        <sz val="10"/>
        <color theme="1"/>
        <rFont val="Arial"/>
        <family val="2"/>
      </rPr>
      <t>(toutes les chaises d’une pièce).</t>
    </r>
  </si>
  <si>
    <t>Aspiration des moquettes et tapis.</t>
  </si>
  <si>
    <t>Mètres carré (M²).</t>
  </si>
  <si>
    <t>Aspiration des sols parquet + SOL BOIS.</t>
  </si>
  <si>
    <t>Aspiration et lavage sol béton.</t>
  </si>
  <si>
    <t>Aspiration et mise en cire des parquets.</t>
  </si>
  <si>
    <t>Balayage des couloirs des caves.</t>
  </si>
  <si>
    <t>Balayage et lavage escalier en métal.</t>
  </si>
  <si>
    <t>Balayage et nettoyage des planchers techniques (pas de nettoyage à grande eau).</t>
  </si>
  <si>
    <t>Changement des draps.</t>
  </si>
  <si>
    <t>Lit.</t>
  </si>
  <si>
    <t>Dalles de faux plafond.</t>
  </si>
  <si>
    <t>Décapage et mise en cire des sols PVC (2 couches d’émulsion) (suivant sol existant) – prévoir accès dans les étages.</t>
  </si>
  <si>
    <t>Dépoussiérage des agrès (pour les salles de sport).</t>
  </si>
  <si>
    <t>Agrès.</t>
  </si>
  <si>
    <t>Dépoussiérage des meubles divers et objet meublants à hauteur d’homme (&lt; 1,70 m).</t>
  </si>
  <si>
    <t>Pièce⁰ (tous les meubles d’une pièce).</t>
  </si>
  <si>
    <t>Dépoussiérage des meubles hauts non encombrés (hauteur &gt; 1,70 m).</t>
  </si>
  <si>
    <t>Dépoussiérage des rebords de fenêtres, des rebords de cloisons vitrées.</t>
  </si>
  <si>
    <t>Fenêtre / Cloison.</t>
  </si>
  <si>
    <t>Dépoussiérage et détachage des panneaux d’affichages administratifs et orientation.</t>
  </si>
  <si>
    <t>Dépoussiérage étagères salles archives.</t>
  </si>
  <si>
    <t>Mètre linéaire.</t>
  </si>
  <si>
    <t>Dépoussiérage lustre / applique.</t>
  </si>
  <si>
    <t>Pièce⁰ (tous les équipements d’une pièce).</t>
  </si>
  <si>
    <t>Détachage des chaises en tissus par méthode injection extraction.</t>
  </si>
  <si>
    <t>Par chaise.</t>
  </si>
  <si>
    <t>Détartrage des lavabos, des cuvettes WC, des urinoirs, des douches.</t>
  </si>
  <si>
    <t>Appareil.</t>
  </si>
  <si>
    <t>Enlèvement des graffitis (ou TAGS).</t>
  </si>
  <si>
    <t>Mètre carré (M²) de mur.</t>
  </si>
  <si>
    <t>Enlèvement des toiles d'araignées/de poussière.</t>
  </si>
  <si>
    <t>Par pièce⁰ (toutes les toiles d'une pièce).</t>
  </si>
  <si>
    <t>Enlèvement des traces de doigts sur les portes vitrées, les cloisons vitrées, et les portes.</t>
  </si>
  <si>
    <t>Entretien des sols par spray méthode****.</t>
  </si>
  <si>
    <t>Entretien des sols textiles par l’opération combinée d’un shampoing moquette + méthode injection extraction.</t>
  </si>
  <si>
    <t>Essuyage des extincteurs, plinthes, radiateurs, convecteurs.</t>
  </si>
  <si>
    <t>Lavage sol marbre avec produit appropiré.</t>
  </si>
  <si>
    <t>Nettoyage complet des chaises (pieds, dossier et assise).</t>
  </si>
  <si>
    <t>Chaise.</t>
  </si>
  <si>
    <r>
      <t>Par pièce⁰</t>
    </r>
    <r>
      <rPr>
        <vertAlign val="superscript"/>
        <sz val="10"/>
        <color theme="1"/>
        <rFont val="Arial"/>
        <family val="2"/>
      </rPr>
      <t>.</t>
    </r>
  </si>
  <si>
    <t>Nettoyage de l’intérieur et de l’extérieur des poubelles.</t>
  </si>
  <si>
    <t>Poubelle.</t>
  </si>
  <si>
    <t>Nettoyage des entourages de porte en aluminium.</t>
  </si>
  <si>
    <t>Nettoyage des grilles d’aération et bouches d’extraction VMC.</t>
  </si>
  <si>
    <t>Par pièce⁰ (toutes les VMC d’une pièce).</t>
  </si>
  <si>
    <t>Nettoyage des parquets vitrifiés.</t>
  </si>
  <si>
    <t>Nettoyage et décapage des sols plastiques.</t>
  </si>
  <si>
    <t>Nettoyage et désinfection des combinés téléphoniques, poignées de porte et interrupteurs électriques.</t>
  </si>
  <si>
    <t>Pièce⁰ (tous les accessoires d’une pièce).</t>
  </si>
  <si>
    <t>Nettoyage et vitrification de parquets.</t>
  </si>
  <si>
    <t>Récurage des sols carrelés et / ou lavage mécanisés des sols peints.</t>
  </si>
  <si>
    <r>
      <t xml:space="preserve">Remise à blanc* d’une chambre avec sanitaire et avec Kitchenette.
</t>
    </r>
    <r>
      <rPr>
        <sz val="10"/>
        <color rgb="FF0000FF"/>
        <rFont val="Arial"/>
        <family val="2"/>
      </rPr>
      <t>(opérations traditionnelles correspondant à l'ensemble des tâches définies à l'ANNEXE 2 du CCTP)</t>
    </r>
  </si>
  <si>
    <t>Par chambre.</t>
  </si>
  <si>
    <r>
      <t xml:space="preserve">Remise à blanc* d’une chambre avec sanitaire et sans Kitchenette.
</t>
    </r>
    <r>
      <rPr>
        <sz val="10"/>
        <color rgb="FF0000FF"/>
        <rFont val="Arial"/>
        <family val="2"/>
      </rPr>
      <t>(opérations traditionnelles correspondant à l'ensemble des tâches définies à l'ANNEXE 2 du CCTP)</t>
    </r>
  </si>
  <si>
    <r>
      <t xml:space="preserve">Remise à blanc* d’une chambre sans sanitaire et sans Kitchenette.
</t>
    </r>
    <r>
      <rPr>
        <sz val="10"/>
        <color rgb="FF0000FF"/>
        <rFont val="Arial"/>
        <family val="2"/>
      </rPr>
      <t>(opérations traditionnelles correspondant à l'ensemble des tâches définies à l'ANNEXE 2 du CCTP)</t>
    </r>
  </si>
  <si>
    <t>Remise à blanc* d’une pièce (hors chambre).</t>
  </si>
  <si>
    <t>Remplacement (fourniture et installation) distributeur de consommable : papier toilette, savon, papier essuie mains.</t>
  </si>
  <si>
    <t>Distributeur.</t>
  </si>
  <si>
    <t>Traitement Kitchenette***.</t>
  </si>
  <si>
    <t>Traitement sanitaire**.</t>
  </si>
  <si>
    <t>Vitrerie extérieure : nettoyage des deux faces de l’ensemble des vitres et cloisons vitrées (extérieures et intérieures), encadrements compris.</t>
  </si>
  <si>
    <t>Mètre carré de vitrerie (M²).</t>
  </si>
  <si>
    <t>Vitrerie extérieure : utilisation de nacelle.</t>
  </si>
  <si>
    <t>A la journée.</t>
  </si>
  <si>
    <t>Z - Cas particulier du GS de X ci-dessous.</t>
  </si>
  <si>
    <t>/</t>
  </si>
  <si>
    <t>Z - Insérer ici pour permettre le bon fonctionnement des formules (clic droit - insertion).</t>
  </si>
  <si>
    <r>
      <rPr>
        <i/>
        <sz val="15"/>
        <rFont val="Arial"/>
        <family val="2"/>
      </rPr>
      <t>(</t>
    </r>
    <r>
      <rPr>
        <vertAlign val="superscript"/>
        <sz val="15"/>
        <rFont val="Arial"/>
        <family val="2"/>
      </rPr>
      <t>⁰</t>
    </r>
    <r>
      <rPr>
        <i/>
        <sz val="15"/>
        <rFont val="Arial"/>
        <family val="2"/>
      </rPr>
      <t>) - Une pièce s’entend pour une superficie comprise entre 0 et 20 m². Au-delà, le tarif sera par tranche de 20m².</t>
    </r>
  </si>
  <si>
    <t>Récurage / lavage mécanisé des sols ;</t>
  </si>
  <si>
    <t>Lustrage / Traitement des sols ;</t>
  </si>
  <si>
    <t>Nettoyage des tapis / Rideaux / Tissus ;</t>
  </si>
  <si>
    <t>Enlèvement des graffitis ;</t>
  </si>
  <si>
    <t>Traitement anti-odeur ;</t>
  </si>
  <si>
    <t>Dépoussiérage de tous les meubles (bas et haut) ;</t>
  </si>
  <si>
    <t xml:space="preserve">Changement des draps (pour locaux de type H et M).                               </t>
  </si>
  <si>
    <t>A préciser dans l'ANNEXE 2 du CCTP</t>
  </si>
  <si>
    <t>(**) CAS DU TRAITEMENT SANITAIRE - Bio nettoyage des sols, murs et mobilier avec un produit détergent et désinfectant : bactéricide, virucide, sporicide et fongicide.</t>
  </si>
  <si>
    <t>(***) CAS DU TRAITEMENT KITCHENETTE- Bio nettoyage des murs, du mobilier, de l'électroménager et des hottes avec un produit détergent et désinfectant : bactéricide, virucide, sporicide et fongicide.</t>
  </si>
  <si>
    <t>(****) DÉFINITION SPRAY MÉTHODE - Nettoyage et/ou régénérer la couche de protection appliquée au sol au moyen d'une mono brosse et pulvérisation d'une émulsion.</t>
  </si>
  <si>
    <r>
      <t xml:space="preserve">SIMULATION DE COMMANDE DES PRESTATIONS à la demande </t>
    </r>
    <r>
      <rPr>
        <b/>
        <u/>
        <sz val="28"/>
        <color rgb="FFFF0000"/>
        <rFont val="Arial"/>
        <family val="2"/>
      </rPr>
      <t>HABITUELLES</t>
    </r>
    <r>
      <rPr>
        <b/>
        <sz val="20"/>
        <color rgb="FFFF0000"/>
        <rFont val="Arial"/>
        <family val="2"/>
      </rPr>
      <t xml:space="preserve"> au profit du LOT.</t>
    </r>
  </si>
  <si>
    <t xml:space="preserve">Changement des draps (pour locaux de type H et M).                                  </t>
  </si>
  <si>
    <t>Calcul du coût à l'heure de la prestation NDL</t>
  </si>
  <si>
    <t>Coût main-d'œuvre avec Loi Fillon (+ 30%)</t>
  </si>
  <si>
    <t>Marge d'exploitation - inclus encadrement extérieur (inspecteur)</t>
  </si>
  <si>
    <t>Congés payés = maladie 12,5% + encadrement local 6%</t>
  </si>
  <si>
    <r>
      <t xml:space="preserve">Pour passer en mode plein écran, </t>
    </r>
    <r>
      <rPr>
        <b/>
        <i/>
        <sz val="11"/>
        <color theme="1"/>
        <rFont val="Arial"/>
        <family val="2"/>
      </rPr>
      <t>appuyez sur Ctrl+Maj+F1</t>
    </r>
    <r>
      <rPr>
        <i/>
        <sz val="11"/>
        <color theme="1"/>
        <rFont val="Arial"/>
        <family val="2"/>
      </rPr>
      <t>.</t>
    </r>
  </si>
  <si>
    <r>
      <rPr>
        <b/>
        <sz val="18"/>
        <color rgb="FF0000FF"/>
        <rFont val="Arial"/>
        <family val="2"/>
      </rPr>
      <t>↓</t>
    </r>
    <r>
      <rPr>
        <b/>
        <i/>
        <sz val="18"/>
        <color rgb="FF0000FF"/>
        <rFont val="Arial"/>
        <family val="2"/>
      </rPr>
      <t xml:space="preserve"> entrées manuelles en BLEU</t>
    </r>
  </si>
  <si>
    <t>DURÉE TOTALE MARCHÉ</t>
  </si>
  <si>
    <t>PRESTATIONS SIMILAIRES MARCHÉS ULTÉRIEURS</t>
  </si>
  <si>
    <t>RÉPARTITION locaux</t>
  </si>
  <si>
    <t xml:space="preserve">Montant de RÉFÉRENCE </t>
  </si>
  <si>
    <t>des ONGLET "MONTANTS" + "P. OCCA" + "P.HABI"</t>
  </si>
  <si>
    <t>TOTAL 
TTC</t>
  </si>
  <si>
    <t xml:space="preserve">MÉTHODE </t>
  </si>
  <si>
    <t>IMPUTATION RÉPARTITION</t>
  </si>
  <si>
    <t>MONTANT CIBLE TOTAL + X année(s) DE PRESTATIONS SIMILAIRES MARCHÉS ULTÉRIEURS (HT)</t>
  </si>
  <si>
    <t>PTT programmées (PF)</t>
  </si>
  <si>
    <t>TOTAL
 TTC</t>
  </si>
  <si>
    <t>Correction ancien marché</t>
  </si>
  <si>
    <t>Prestations programmées (prix forfaitaires)</t>
  </si>
  <si>
    <r>
      <t xml:space="preserve">Prestations à la demande (sur BDC) (prix unitaires) / </t>
    </r>
    <r>
      <rPr>
        <b/>
        <sz val="11"/>
        <color rgb="FFFF0000"/>
        <rFont val="Arial"/>
        <family val="2"/>
      </rPr>
      <t>OCCA</t>
    </r>
  </si>
  <si>
    <r>
      <t xml:space="preserve">Prestations à la demande (sur BDC) (prix unitaires) / </t>
    </r>
    <r>
      <rPr>
        <b/>
        <sz val="11"/>
        <color rgb="FFFF0000"/>
        <rFont val="Arial"/>
        <family val="2"/>
      </rPr>
      <t>HABI</t>
    </r>
  </si>
  <si>
    <t>HÔTEL de BROGLIE - STRASBOURG</t>
  </si>
  <si>
    <t>X</t>
  </si>
  <si>
    <t>INFLATION</t>
  </si>
  <si>
    <t xml:space="preserve">par référent NDL. </t>
  </si>
  <si>
    <t xml:space="preserve">Dernière Mise à jour le </t>
  </si>
  <si>
    <t>231</t>
  </si>
  <si>
    <t>TAUX D'OCCUPATION moyen des chambres pour l'année 2024 : 60 %</t>
  </si>
  <si>
    <t>N° DAF actualisé et attribué par l'Acheteur après réception FEB pour la nouvelle procédure.</t>
  </si>
  <si>
    <t>Allotissement connu par le prescripteur
(il pourra être modifié si non pertinent).</t>
  </si>
  <si>
    <t>↓</t>
  </si>
  <si>
    <t>LOT UNIQUE :  HÔTEL de BROGLIE - STRASBOURG</t>
  </si>
  <si>
    <t>SITE / QUARTIER / ENTITÉ ou PRÉCISION s/si besoin</t>
  </si>
  <si>
    <t>Prestations de nettoyage</t>
  </si>
  <si>
    <t>Cadence cible</t>
  </si>
  <si>
    <t>CHAMBRES HÔTELLERIE et HÉBERGEMENT</t>
  </si>
  <si>
    <t>?</t>
  </si>
  <si>
    <r>
      <t>(H</t>
    </r>
    <r>
      <rPr>
        <sz val="11"/>
        <color theme="1"/>
        <rFont val="Calibri"/>
        <family val="2"/>
      </rPr>
      <t>Ô</t>
    </r>
    <r>
      <rPr>
        <sz val="11"/>
        <color theme="1"/>
        <rFont val="Arial"/>
        <family val="2"/>
      </rPr>
      <t>) Hôtellerie</t>
    </r>
  </si>
  <si>
    <t>(L) Laveries</t>
  </si>
  <si>
    <t>ERREUR</t>
  </si>
  <si>
    <t>Pierre</t>
  </si>
  <si>
    <t>PRESCRIPTEUR : 
AUCUNE FUSION DE CELLULES N'EST AUTORISÉE DANS LE FICHIER
CELA VAUT POUR TOUS LES ONGLETS !</t>
  </si>
  <si>
    <t>ACHETEUR :</t>
  </si>
  <si>
    <t>Effectifs sur site pour le lot en question :</t>
  </si>
  <si>
    <t>SITE / QUARTIER / ENTITÉ OU PRÉCISION s/si besoin
(REGROUPÉ)</t>
  </si>
  <si>
    <t>Traitement sol</t>
  </si>
  <si>
    <r>
      <t xml:space="preserve">Superficie sol </t>
    </r>
    <r>
      <rPr>
        <sz val="12"/>
        <color indexed="8"/>
        <rFont val="Arial"/>
        <family val="2"/>
      </rPr>
      <t>(m</t>
    </r>
    <r>
      <rPr>
        <vertAlign val="superscript"/>
        <sz val="12"/>
        <color indexed="8"/>
        <rFont val="Arial"/>
        <family val="2"/>
      </rPr>
      <t>2</t>
    </r>
    <r>
      <rPr>
        <sz val="12"/>
        <color indexed="8"/>
        <rFont val="Arial"/>
        <family val="2"/>
      </rPr>
      <t>)</t>
    </r>
  </si>
  <si>
    <t>Observations</t>
  </si>
  <si>
    <t>(B) Bimestriel</t>
  </si>
  <si>
    <t>(HÔ) Hôtellerie</t>
  </si>
  <si>
    <t>PRESCRIPTEUR : Le Bénéficiaire doit remplir les cases blanches en fonction du budget, et peut ajouter des prestations en complétant les lignes vides en bas.
Charge à l'acheteur d'actualiser les Prix de référence HT dans les cases vertes et de vérifier les totaux en HAUT de page.</t>
  </si>
  <si>
    <t>ACHETEUR : MASQUER L'ONGLET POUR L'APPEL D'OFFRES.</t>
  </si>
  <si>
    <t>BUDGET GS / POSTE 1</t>
  </si>
  <si>
    <t>BUDGET GS / POSTE 2</t>
  </si>
  <si>
    <t>BUDGET GS / POSTE 3</t>
  </si>
  <si>
    <t>BUDGET CERCLE / POSTE 1</t>
  </si>
  <si>
    <t>BUDGET CERCLE / POSTE 3</t>
  </si>
  <si>
    <t>N° DAF actualisé et attribué par l'Acheteur 
après réception FEB pour la nouvelle procédure.</t>
  </si>
  <si>
    <t>Au titre des prestations OCCASIONNELLES / PRIX UNITAIRES !</t>
  </si>
  <si>
    <t>POSTE 1 
LOCAUX TERTIAIRES</t>
  </si>
  <si>
    <t>POSTE 2
CHAMBRES 
HÔTELLERIE ET HÉBERGEMENT</t>
  </si>
  <si>
    <t>POSTE 3
LOCAUX PLONGE</t>
  </si>
  <si>
    <t>Z - Insérer ici au dessus pour permettre le bon fonctionnement des formules (clic droit - insertion). Puis faire glisser les formules.</t>
  </si>
  <si>
    <r>
      <t xml:space="preserve">Prestations à la demande </t>
    </r>
    <r>
      <rPr>
        <b/>
        <sz val="22"/>
        <color theme="0"/>
        <rFont val="Arial"/>
        <family val="2"/>
      </rPr>
      <t xml:space="preserve">HABITUELLES </t>
    </r>
    <r>
      <rPr>
        <b/>
        <sz val="18"/>
        <color theme="0"/>
        <rFont val="Arial"/>
        <family val="2"/>
      </rPr>
      <t>= "des prestations de nettoyage à la demande à réaliser selon la fréquentation du site" donc d'après un plan de charge dont les modalités sont à préciser au CCTP !</t>
    </r>
  </si>
  <si>
    <t>Au titre des prestations HABITUELLES / PRIX UNITAIRES !</t>
  </si>
  <si>
    <r>
      <t>Vitrerie (pour mémoire) en m</t>
    </r>
    <r>
      <rPr>
        <sz val="11"/>
        <color theme="1"/>
        <rFont val="Calibri"/>
        <family val="2"/>
      </rPr>
      <t>²</t>
    </r>
  </si>
  <si>
    <t xml:space="preserve">                Inclus vitre P1 + P2 + P3. Si présent.</t>
  </si>
  <si>
    <t>RÉPARTITION PAR BUDGET (Prestations programmées + à la demande)</t>
  </si>
  <si>
    <t>RÉPARTITION PAR POSTE (Prestations programmées + à la demande)</t>
  </si>
  <si>
    <t>Total des prestations programmées (prix forfaitaires) + à la demande (prix unitaires)</t>
  </si>
  <si>
    <r>
      <t xml:space="preserve">Plonge </t>
    </r>
    <r>
      <rPr>
        <u/>
        <sz val="11"/>
        <color theme="1"/>
        <rFont val="Arial"/>
        <family val="2"/>
      </rPr>
      <t>à la demande</t>
    </r>
    <r>
      <rPr>
        <sz val="11"/>
        <color theme="1"/>
        <rFont val="Arial"/>
        <family val="2"/>
      </rPr>
      <t xml:space="preserve"> (NDL de plonge + "prestation de plonge(s)" habituelle/occassionnelle + Prest spécifiques) (prix unitaires)</t>
    </r>
  </si>
  <si>
    <t>Montant total annuel du marché NDL + Plonge (Montant cible)</t>
  </si>
  <si>
    <t>RÉPARTITION PAR POSTE et BUDGET (Prestations programmées + à la demande)</t>
  </si>
  <si>
    <t>POSTE 1 / GS</t>
  </si>
  <si>
    <t>POSTE 1 / CERCLE</t>
  </si>
  <si>
    <t>POSTE 1 / CIRL</t>
  </si>
  <si>
    <t>POSTE 2 / GS</t>
  </si>
  <si>
    <t>POSTE 2 / CERCLE</t>
  </si>
  <si>
    <t>POSTE 3 / GS</t>
  </si>
  <si>
    <t>POSTE 3 / CERCLE</t>
  </si>
  <si>
    <t>POSTE 3 / CIRL</t>
  </si>
  <si>
    <t>Montant annuel du marché</t>
  </si>
  <si>
    <t>ESTIMATION FINALE</t>
  </si>
  <si>
    <t xml:space="preserve">ANNUEL 
TTC </t>
  </si>
  <si>
    <t>POSTE 1
"LOCAUX TERTIAIRES"</t>
  </si>
  <si>
    <t>PTT à la demande (PU)</t>
  </si>
  <si>
    <t>POSTE 2
"CHAMBRES HÉBERGEMENT / HÔTELLERIE"</t>
  </si>
  <si>
    <t>POSTE 3
"LOCAUX PLONGE + PRESTATION PLONGE"</t>
  </si>
  <si>
    <t>DO</t>
  </si>
  <si>
    <t>DH</t>
  </si>
  <si>
    <t>(DH) À la Demande Habituelle</t>
  </si>
  <si>
    <t>(DO) À la Demande Occasionnelle 
ou non prévu d'être nettoyé</t>
  </si>
  <si>
    <t>DO+DH</t>
  </si>
  <si>
    <t>CODE DES COULEURS SI AVENANT</t>
  </si>
  <si>
    <t xml:space="preserve">à ajouter </t>
  </si>
  <si>
    <t>à supprimer</t>
  </si>
  <si>
    <t>fréquence modifiée</t>
  </si>
  <si>
    <r>
      <t>modifications dans rubrique "Désignation local" ou "</t>
    </r>
    <r>
      <rPr>
        <b/>
        <sz val="14"/>
        <color theme="1"/>
        <rFont val="Calibri"/>
        <family val="2"/>
      </rPr>
      <t>É</t>
    </r>
    <r>
      <rPr>
        <b/>
        <sz val="14"/>
        <color theme="1"/>
        <rFont val="Calibri"/>
        <family val="2"/>
        <scheme val="minor"/>
      </rPr>
      <t xml:space="preserve">tat initial". </t>
    </r>
    <r>
      <rPr>
        <b/>
        <strike/>
        <sz val="14"/>
        <color theme="1"/>
        <rFont val="Calibri"/>
        <family val="2"/>
        <scheme val="minor"/>
      </rPr>
      <t>AVANT</t>
    </r>
    <r>
      <rPr>
        <b/>
        <sz val="14"/>
        <color theme="1"/>
        <rFont val="Calibri"/>
        <family val="2"/>
        <scheme val="minor"/>
      </rPr>
      <t xml:space="preserve"> </t>
    </r>
    <r>
      <rPr>
        <b/>
        <sz val="14"/>
        <color rgb="FFFF0000"/>
        <rFont val="Calibri"/>
        <family val="2"/>
        <scheme val="minor"/>
      </rPr>
      <t>APRÈS</t>
    </r>
  </si>
  <si>
    <r>
      <t xml:space="preserve">correctif appelation : </t>
    </r>
    <r>
      <rPr>
        <b/>
        <strike/>
        <sz val="14"/>
        <color theme="1"/>
        <rFont val="Calibri"/>
        <family val="2"/>
        <scheme val="minor"/>
      </rPr>
      <t>AVANT</t>
    </r>
    <r>
      <rPr>
        <b/>
        <sz val="14"/>
        <color theme="1"/>
        <rFont val="Calibri"/>
        <family val="2"/>
        <scheme val="minor"/>
      </rPr>
      <t xml:space="preserve"> </t>
    </r>
    <r>
      <rPr>
        <b/>
        <sz val="14"/>
        <color rgb="FFFF0000"/>
        <rFont val="Calibri"/>
        <family val="2"/>
        <scheme val="minor"/>
      </rPr>
      <t>APR</t>
    </r>
    <r>
      <rPr>
        <b/>
        <sz val="14"/>
        <color rgb="FFFF0000"/>
        <rFont val="Calibri"/>
        <family val="2"/>
      </rPr>
      <t>È</t>
    </r>
    <r>
      <rPr>
        <b/>
        <sz val="14"/>
        <color rgb="FFFF0000"/>
        <rFont val="Calibri"/>
        <family val="2"/>
        <scheme val="minor"/>
      </rPr>
      <t>S</t>
    </r>
  </si>
  <si>
    <t>(DO+DH) À la Demande Occasionnelle + Habituelle</t>
  </si>
  <si>
    <r>
      <t xml:space="preserve">Cas général uniquement que pour chambres d'hébergement ou d'hôtellerie </t>
    </r>
    <r>
      <rPr>
        <b/>
        <u/>
        <sz val="18"/>
        <color theme="0"/>
        <rFont val="Arial"/>
        <family val="2"/>
      </rPr>
      <t>avec plan de charge</t>
    </r>
    <r>
      <rPr>
        <b/>
        <sz val="18"/>
        <color theme="0"/>
        <rFont val="Arial"/>
        <family val="2"/>
      </rPr>
      <t xml:space="preserve"> !</t>
    </r>
  </si>
  <si>
    <r>
      <t xml:space="preserve">OPÉRATIONS
</t>
    </r>
    <r>
      <rPr>
        <b/>
        <sz val="12"/>
        <color rgb="FFFF0000"/>
        <rFont val="Arial"/>
        <family val="2"/>
      </rPr>
      <t xml:space="preserve">[les prestations habituelles (= S/si </t>
    </r>
    <r>
      <rPr>
        <b/>
        <u/>
        <sz val="12"/>
        <color rgb="FFFF0000"/>
        <rFont val="Arial"/>
        <family val="2"/>
      </rPr>
      <t>sur plan de charge</t>
    </r>
    <r>
      <rPr>
        <b/>
        <sz val="12"/>
        <color rgb="FFFF0000"/>
        <rFont val="Arial"/>
        <family val="2"/>
      </rPr>
      <t>) pour hébergement et hôtellerie sont à compléter dans l'autre onglet dédié]</t>
    </r>
  </si>
  <si>
    <r>
      <t xml:space="preserve">Nettoyage d’un bureau.
</t>
    </r>
    <r>
      <rPr>
        <sz val="10"/>
        <color rgb="FF0000FF"/>
        <rFont val="Arial"/>
        <family val="2"/>
      </rPr>
      <t>(opérations traditionnelles correspondant à l’ensemble des tâches définies à l’ANNEXE 2 du CCTP / TYPE B)</t>
    </r>
  </si>
  <si>
    <r>
      <t xml:space="preserve">Nettoyage d’un local d’hébergement.
</t>
    </r>
    <r>
      <rPr>
        <sz val="10"/>
        <color rgb="FF0000FF"/>
        <rFont val="Arial"/>
        <family val="2"/>
      </rPr>
      <t>(opérations traditionnelles correspondant à l’ensemble des tâches définies à l’ANNEXE 2 du CCTP / TYPE H)</t>
    </r>
  </si>
  <si>
    <r>
      <t xml:space="preserve">Nettoyage d’un local médical.
</t>
    </r>
    <r>
      <rPr>
        <sz val="10"/>
        <color rgb="FF0000FF"/>
        <rFont val="Arial"/>
        <family val="2"/>
      </rPr>
      <t>(opérations traditionnelles correspondant à l’ensemble des tâches définies à l’ANNEXE 2 du CCTP / TYPE M)</t>
    </r>
  </si>
  <si>
    <r>
      <t xml:space="preserve">Nettoyage d’un sanitaire.
</t>
    </r>
    <r>
      <rPr>
        <sz val="10"/>
        <color rgb="FF0000FF"/>
        <rFont val="Arial"/>
        <family val="2"/>
      </rPr>
      <t>(opérations traditionnelles correspondant à l’ensemble des tâches définies à l’ANNEXE 2 du CCTP / TYPE S)</t>
    </r>
  </si>
  <si>
    <r>
      <t xml:space="preserve">Nettoyage d’une salle de réunion.
</t>
    </r>
    <r>
      <rPr>
        <sz val="10"/>
        <color rgb="FF0000FF"/>
        <rFont val="Arial"/>
        <family val="2"/>
      </rPr>
      <t>(opérations traditionnelles correspondant à l’ensemble des tâches définies à l’ANNEXE 2 du CCTP / TYPE A)</t>
    </r>
  </si>
  <si>
    <r>
      <t xml:space="preserve">Nettoyage de locaux vie, cafétéria réfectoire (hors salle de restauration).
</t>
    </r>
    <r>
      <rPr>
        <sz val="10"/>
        <color rgb="FF0000FF"/>
        <rFont val="Arial"/>
        <family val="2"/>
      </rPr>
      <t>(opérations traditionnelles correspondant à l’ensemble des tâches définies à l’ANNEXE 2 du CCTP / TYPE V)</t>
    </r>
  </si>
  <si>
    <r>
      <t xml:space="preserve">Nettoyage des communs.
</t>
    </r>
    <r>
      <rPr>
        <sz val="10"/>
        <color rgb="FF0000FF"/>
        <rFont val="Arial"/>
        <family val="2"/>
      </rPr>
      <t>(opérations traditionnelles correspondant à l’ensemble des tâches définies à l’ANNEXE 2 du CCTP / TYPE C)</t>
    </r>
  </si>
  <si>
    <r>
      <t xml:space="preserve">Hôtellerie / Nettoyage d'une "CHAMBRE DOUBLE" </t>
    </r>
    <r>
      <rPr>
        <u/>
        <sz val="10"/>
        <color theme="1"/>
        <rFont val="Arial"/>
        <family val="2"/>
      </rPr>
      <t>avec 1 salle de bain</t>
    </r>
    <r>
      <rPr>
        <sz val="10"/>
        <color theme="1"/>
        <rFont val="Arial"/>
        <family val="2"/>
      </rPr>
      <t xml:space="preserve"> </t>
    </r>
    <r>
      <rPr>
        <sz val="10"/>
        <color rgb="FF7030A0"/>
        <rFont val="Arial"/>
        <family val="2"/>
      </rPr>
      <t>(avec WC ou WC séparé)</t>
    </r>
    <r>
      <rPr>
        <sz val="10"/>
        <color theme="1"/>
        <rFont val="Arial"/>
        <family val="2"/>
      </rPr>
      <t xml:space="preserve"> + </t>
    </r>
    <r>
      <rPr>
        <i/>
        <sz val="10"/>
        <color theme="1"/>
        <rFont val="Arial"/>
        <family val="2"/>
      </rPr>
      <t>réfection de lit (</t>
    </r>
    <r>
      <rPr>
        <i/>
        <u/>
        <sz val="10"/>
        <color theme="1"/>
        <rFont val="Arial"/>
        <family val="2"/>
      </rPr>
      <t>sans</t>
    </r>
    <r>
      <rPr>
        <i/>
        <sz val="10"/>
        <color theme="1"/>
        <rFont val="Arial"/>
        <family val="2"/>
      </rPr>
      <t xml:space="preserve"> changement de draps - recouche).
</t>
    </r>
    <r>
      <rPr>
        <sz val="10"/>
        <color rgb="FF0000FF"/>
        <rFont val="Arial"/>
        <family val="2"/>
      </rPr>
      <t>(opérations traditionnelles correspondant à l’ensemble des tâches définies à l’ANNEXE 2 du CCTP / TYPE HÔ)</t>
    </r>
  </si>
  <si>
    <r>
      <t xml:space="preserve">Hôtellerie / Nettoyage d'une "SUITE 1 LIT DOUBLE" </t>
    </r>
    <r>
      <rPr>
        <u/>
        <sz val="10"/>
        <color theme="1"/>
        <rFont val="Arial"/>
        <family val="2"/>
      </rPr>
      <t>avec 1 salle de bain</t>
    </r>
    <r>
      <rPr>
        <sz val="10"/>
        <color theme="1"/>
        <rFont val="Arial"/>
        <family val="2"/>
      </rPr>
      <t xml:space="preserve"> </t>
    </r>
    <r>
      <rPr>
        <sz val="10"/>
        <color rgb="FF7030A0"/>
        <rFont val="Arial"/>
        <family val="2"/>
      </rPr>
      <t xml:space="preserve">(avec WC ou WC séparé) </t>
    </r>
    <r>
      <rPr>
        <sz val="10"/>
        <color theme="1"/>
        <rFont val="Arial"/>
        <family val="2"/>
      </rPr>
      <t xml:space="preserve">+ </t>
    </r>
    <r>
      <rPr>
        <i/>
        <sz val="10"/>
        <color theme="1"/>
        <rFont val="Arial"/>
        <family val="2"/>
      </rPr>
      <t>réfection de lit (</t>
    </r>
    <r>
      <rPr>
        <i/>
        <u/>
        <sz val="10"/>
        <color theme="1"/>
        <rFont val="Arial"/>
        <family val="2"/>
      </rPr>
      <t>sans</t>
    </r>
    <r>
      <rPr>
        <i/>
        <sz val="10"/>
        <color theme="1"/>
        <rFont val="Arial"/>
        <family val="2"/>
      </rPr>
      <t xml:space="preserve"> changement de draps - recouche).
</t>
    </r>
    <r>
      <rPr>
        <sz val="10"/>
        <color rgb="FF0000FF"/>
        <rFont val="Arial"/>
        <family val="2"/>
      </rPr>
      <t>(opérations traditionnelles correspondant à l’ensemble des tâches définies à l’ANNEXE 2 du CCTP / TYPE HÔ)</t>
    </r>
  </si>
  <si>
    <r>
      <t xml:space="preserve">Hôtellerie / Remise à blanc d'une "CHAMBRE DOUBLE" </t>
    </r>
    <r>
      <rPr>
        <u/>
        <sz val="10"/>
        <rFont val="Arial"/>
        <family val="2"/>
      </rPr>
      <t>avec 1 salle de bain</t>
    </r>
    <r>
      <rPr>
        <sz val="10"/>
        <rFont val="Arial"/>
        <family val="2"/>
      </rPr>
      <t xml:space="preserve"> </t>
    </r>
    <r>
      <rPr>
        <sz val="10"/>
        <color rgb="FF7030A0"/>
        <rFont val="Arial"/>
        <family val="2"/>
      </rPr>
      <t>(avec WC ou WC séparé)</t>
    </r>
    <r>
      <rPr>
        <sz val="10"/>
        <rFont val="Arial"/>
        <family val="2"/>
      </rPr>
      <t xml:space="preserve">.
</t>
    </r>
    <r>
      <rPr>
        <sz val="10"/>
        <color rgb="FF0000FF"/>
        <rFont val="Arial"/>
        <family val="2"/>
      </rPr>
      <t>(opérations traditionnelles correspondant à l’ensemble des tâches définies à l’ANNEXE 2 du CCTP / TYPE HÔ)</t>
    </r>
  </si>
  <si>
    <r>
      <t xml:space="preserve">Hôtellerie / Remise à blanc d'une "SUITE 1 LIT DOUBLE" </t>
    </r>
    <r>
      <rPr>
        <u/>
        <sz val="10"/>
        <rFont val="Arial"/>
        <family val="2"/>
      </rPr>
      <t>avec 1 salle de bain</t>
    </r>
    <r>
      <rPr>
        <sz val="10"/>
        <rFont val="Arial"/>
        <family val="2"/>
      </rPr>
      <t xml:space="preserve"> </t>
    </r>
    <r>
      <rPr>
        <sz val="10"/>
        <color rgb="FF7030A0"/>
        <rFont val="Arial"/>
        <family val="2"/>
      </rPr>
      <t>(avec WC ou WC séparé)</t>
    </r>
    <r>
      <rPr>
        <sz val="10"/>
        <rFont val="Arial"/>
        <family val="2"/>
      </rPr>
      <t xml:space="preserve">.
</t>
    </r>
    <r>
      <rPr>
        <sz val="10"/>
        <color rgb="FF0000FF"/>
        <rFont val="Arial"/>
        <family val="2"/>
      </rPr>
      <t>(opérations traditionnelles correspondant à l’ensemble des tâches définies à l’ANNEXE 2 du CCTP / TYPE HÔ)</t>
    </r>
  </si>
  <si>
    <r>
      <t xml:space="preserve">Hôtellerie / Réfection lit supplémentaire </t>
    </r>
    <r>
      <rPr>
        <i/>
        <sz val="10"/>
        <color theme="1"/>
        <rFont val="Arial"/>
        <family val="2"/>
      </rPr>
      <t>(</t>
    </r>
    <r>
      <rPr>
        <i/>
        <u/>
        <sz val="10"/>
        <color theme="1"/>
        <rFont val="Arial"/>
        <family val="2"/>
      </rPr>
      <t>sans</t>
    </r>
    <r>
      <rPr>
        <i/>
        <sz val="10"/>
        <color theme="1"/>
        <rFont val="Arial"/>
        <family val="2"/>
      </rPr>
      <t xml:space="preserve"> changement de draps - recouche).
</t>
    </r>
    <r>
      <rPr>
        <sz val="10"/>
        <color rgb="FF0000FF"/>
        <rFont val="Arial"/>
        <family val="2"/>
      </rPr>
      <t>(opérations traditionnelles correspondant à l’ensemble des tâches définies à l’ANNEXE 2 du CCTP / TYPE HÔ)</t>
    </r>
  </si>
  <si>
    <r>
      <t xml:space="preserve">Hôtellerie / Réfection lit supplémentaire </t>
    </r>
    <r>
      <rPr>
        <i/>
        <sz val="10"/>
        <color theme="1"/>
        <rFont val="Arial"/>
        <family val="2"/>
      </rPr>
      <t>(</t>
    </r>
    <r>
      <rPr>
        <i/>
        <u/>
        <sz val="10"/>
        <color theme="1"/>
        <rFont val="Arial"/>
        <family val="2"/>
      </rPr>
      <t>avec</t>
    </r>
    <r>
      <rPr>
        <i/>
        <sz val="10"/>
        <color theme="1"/>
        <rFont val="Arial"/>
        <family val="2"/>
      </rPr>
      <t xml:space="preserve"> changement de draps - remise à blanc).
</t>
    </r>
    <r>
      <rPr>
        <sz val="10"/>
        <color rgb="FF0000FF"/>
        <rFont val="Arial"/>
        <family val="2"/>
      </rPr>
      <t>(opérations traditionnelles correspondant à l’ensemble des tâches définies à l’ANNEXE 2 du CCTP / TYPE HÔ)</t>
    </r>
  </si>
  <si>
    <t>Hébergement /</t>
  </si>
  <si>
    <r>
      <t xml:space="preserve">TOTAL HT
</t>
    </r>
    <r>
      <rPr>
        <b/>
        <sz val="6"/>
        <color theme="1"/>
        <rFont val="Arial"/>
        <family val="2"/>
      </rPr>
      <t>( TIENT COMPTE DE LA DURÉE TOTALE DU MARCHE CASE dédiée )</t>
    </r>
  </si>
  <si>
    <t>ACHETEUR :
Colonnes à masquer dans l'annexe 1 communiquée dans l'appel d'offres.</t>
  </si>
  <si>
    <r>
      <t>Surface Fenêtre (m</t>
    </r>
    <r>
      <rPr>
        <vertAlign val="superscript"/>
        <sz val="12"/>
        <color theme="1"/>
        <rFont val="Arial"/>
        <family val="2"/>
      </rPr>
      <t>2</t>
    </r>
    <r>
      <rPr>
        <sz val="12"/>
        <color theme="1"/>
        <rFont val="Arial"/>
        <family val="2"/>
      </rPr>
      <t>) / un côté seulement.</t>
    </r>
  </si>
  <si>
    <t>PRESCRIPTEUR : Dans cet onglet, le Bénéficiaire ne doit remplir que les cases blanches + l'effectif sur site correspondant au lot en question + la gestion des déchets.</t>
  </si>
  <si>
    <r>
      <t xml:space="preserve">N°
</t>
    </r>
    <r>
      <rPr>
        <b/>
        <i/>
        <u/>
        <sz val="12"/>
        <color rgb="FFFF0000"/>
        <rFont val="Arial"/>
        <family val="2"/>
      </rPr>
      <t>un local par ligne !</t>
    </r>
  </si>
  <si>
    <t>Les 4 dernières colonnes à masquer dans l'annexe 1 communiquée dans l'appel d'offres.</t>
  </si>
  <si>
    <t>ACHETEUR : PROTÉGER LA FEUILLE + MASQUER ONGLET POUR GS + POUR L'APPEL D'OFFRES.</t>
  </si>
  <si>
    <t xml:space="preserve">ACHETEUR : Les zones de saisies sont en VERT CLAIR, se référer au commentaire de la cellule concernée pour savoir comment remplir.
Dans l'onglet "ANX 1 - Descrip locaux - appd 1", dernière colonne "volume horaire cible", faire un filtre pour afficher les lignes dont le montant est "0" et vérifier la cohérence.
La valeur "0" ne doit être présente que pour les lignes avec la fréquence "DO", "DH", "DO+DH" ou pour les lignes concernant les locaux de nature "PL" (les locaux de Plonge).
</t>
  </si>
  <si>
    <t>Volume horaire cible avec valeurs à zéro uniquement si fréquence "DO", "DH", "DO+DH"ou si locaux de plonge "PL".</t>
  </si>
  <si>
    <t>PRESCRIPTEUR : Ces listes servent à alimenter l'onglet "ANX 1 - Descrip locaux - appd 1".
Les tableaux à en-tête rouge ne doivent pas être modifiés. Ils sont à la charge de l'acheteur.
Pour ajouter ici un élément à l'un des tableaux à en-tête bleu, renseigner la case vide immédiatement sous le tableau en question. 
Ce nouveau élément sera ainsi intégré automatiquement à la liste déroulante correspondante dans l'onglet "ANX 1 - Descrip locaux - appd 1".
La colonne A "SITE / QUARTIER / ENTITÉ ou PRÉCISION s/si besoin" doit être renseignée dans cet ordre, du plus général en premier (ville, base aérienne...) au plus détaillé en dernier (Unité, n° bâtiment...).</t>
  </si>
  <si>
    <t>ACHETEUR : les 3 premières lignes à masquer dans l'annexe 1 communiquée dans l'appel d'offres.
ACHETEUR : le CLASSEUR devra ensuite être protégé pour l'appel d'offres afin de ne pas donner accès à certains onglets qui auront été au préalable masqués. (Commande Révision dans Excel).</t>
  </si>
  <si>
    <t>ACHETEUR : MASQUER L'ONGLET POUR GS + POUR L'APPEL D'OFFRES.</t>
  </si>
  <si>
    <t>Nettoyé en régie. Débarras.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</si>
</sst>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4" formatCode="_-* #,##0.00\ &quot;€&quot;_-;\-* #,##0.00\ &quot;€&quot;_-;_-* &quot;-&quot;??\ &quot;€&quot;_-;_-@_-"/>
    <numFmt numFmtId="43" formatCode="_-* #,##0.00_-;\-* #,##0.00_-;_-* &quot;-&quot;??_-;_-@_-"/>
    <numFmt numFmtId="164" formatCode="_-* #,##0.00\ _€_-;\-* #,##0.00\ _€_-;_-* &quot;-&quot;??\ _€_-;_-@_-"/>
    <numFmt numFmtId="165" formatCode="#,##0.00\ &quot;€&quot;"/>
    <numFmt numFmtId="166" formatCode="#,##0&quot; H&quot;"/>
    <numFmt numFmtId="167" formatCode="#,##0&quot; m²/H&quot;"/>
    <numFmt numFmtId="168" formatCode="#,##0&quot; m²&quot;"/>
    <numFmt numFmtId="169" formatCode="[$-40C]General"/>
    <numFmt numFmtId="170" formatCode="#,##0.00&quot; € TTC/m²&quot;"/>
    <numFmt numFmtId="171" formatCode="#,##0.00&quot; m²/H&quot;"/>
    <numFmt numFmtId="172" formatCode="_-* #,##0_-;\-* #,##0_-;_-* &quot;-&quot;??_-;_-@_-"/>
    <numFmt numFmtId="173" formatCode="0.00&quot; € TTC/H&quot;"/>
    <numFmt numFmtId="174" formatCode="0.00000"/>
    <numFmt numFmtId="175" formatCode="#,##0.00\ _€"/>
    <numFmt numFmtId="176" formatCode="0.00&quot; € TTC/H hab&quot;"/>
    <numFmt numFmtId="177" formatCode="&quot; Cf. simulation de commande (NON CONTRACTUELLE) &quot;"/>
  </numFmts>
  <fonts count="105" x14ac:knownFonts="1">
    <font>
      <sz val="11"/>
      <color theme="1"/>
      <name val="Calibri"/>
      <family val="2"/>
      <scheme val="minor"/>
    </font>
    <font>
      <sz val="10"/>
      <name val="Arial"/>
      <family val="2"/>
    </font>
    <font>
      <sz val="9"/>
      <color indexed="81"/>
      <name val="Tahoma"/>
      <family val="2"/>
    </font>
    <font>
      <sz val="12"/>
      <name val="Arial"/>
      <family val="2"/>
    </font>
    <font>
      <b/>
      <sz val="9"/>
      <color indexed="81"/>
      <name val="Tahoma"/>
      <family val="2"/>
    </font>
    <font>
      <sz val="10"/>
      <name val="Arial"/>
      <family val="2"/>
    </font>
    <font>
      <sz val="10"/>
      <color theme="1"/>
      <name val="Arial"/>
      <family val="2"/>
    </font>
    <font>
      <sz val="11"/>
      <color theme="1"/>
      <name val="Calibri"/>
      <family val="2"/>
      <scheme val="minor"/>
    </font>
    <font>
      <sz val="11"/>
      <color theme="1"/>
      <name val="Arial"/>
      <family val="2"/>
    </font>
    <font>
      <sz val="11"/>
      <color rgb="FF000000"/>
      <name val="Calibri"/>
      <family val="2"/>
    </font>
    <font>
      <sz val="11"/>
      <color rgb="FF000000"/>
      <name val="Arial"/>
      <family val="2"/>
    </font>
    <font>
      <sz val="11"/>
      <color theme="1"/>
      <name val="Marianne"/>
      <family val="3"/>
    </font>
    <font>
      <sz val="11"/>
      <name val="Marianne"/>
      <family val="3"/>
    </font>
    <font>
      <sz val="12"/>
      <color theme="1"/>
      <name val="Arial"/>
      <family val="2"/>
    </font>
    <font>
      <sz val="12"/>
      <color indexed="8"/>
      <name val="Arial"/>
      <family val="2"/>
    </font>
    <font>
      <sz val="10"/>
      <name val="Arial"/>
      <family val="2"/>
    </font>
    <font>
      <b/>
      <sz val="18"/>
      <name val="Arial"/>
      <family val="2"/>
    </font>
    <font>
      <b/>
      <sz val="10"/>
      <name val="Arial"/>
      <family val="2"/>
    </font>
    <font>
      <b/>
      <sz val="16"/>
      <color theme="1"/>
      <name val="Arial"/>
      <family val="2"/>
    </font>
    <font>
      <sz val="9"/>
      <name val="Arial"/>
      <family val="2"/>
    </font>
    <font>
      <sz val="11"/>
      <color theme="1"/>
      <name val="Calibri"/>
      <family val="2"/>
    </font>
    <font>
      <b/>
      <sz val="10"/>
      <color theme="1"/>
      <name val="Arial"/>
      <family val="2"/>
    </font>
    <font>
      <b/>
      <sz val="11"/>
      <color theme="1"/>
      <name val="Arial"/>
      <family val="2"/>
    </font>
    <font>
      <i/>
      <sz val="11"/>
      <color theme="9" tint="-0.249977111117893"/>
      <name val="Arial"/>
      <family val="2"/>
    </font>
    <font>
      <sz val="11"/>
      <color rgb="FF0070C0"/>
      <name val="Arial"/>
      <family val="2"/>
    </font>
    <font>
      <b/>
      <sz val="11"/>
      <name val="Arial"/>
      <family val="2"/>
    </font>
    <font>
      <sz val="11"/>
      <name val="Arial"/>
      <family val="2"/>
    </font>
    <font>
      <sz val="11"/>
      <color theme="6" tint="-0.499984740745262"/>
      <name val="Arial"/>
      <family val="2"/>
    </font>
    <font>
      <b/>
      <sz val="11"/>
      <color rgb="FFFF0000"/>
      <name val="Arial"/>
      <family val="2"/>
    </font>
    <font>
      <strike/>
      <sz val="11"/>
      <color theme="1"/>
      <name val="Arial"/>
      <family val="2"/>
    </font>
    <font>
      <sz val="11"/>
      <color rgb="FFFF0000"/>
      <name val="Arial"/>
      <family val="2"/>
    </font>
    <font>
      <b/>
      <sz val="28"/>
      <name val="Arial"/>
      <family val="2"/>
    </font>
    <font>
      <sz val="11"/>
      <color rgb="FF0000FF"/>
      <name val="Arial"/>
      <family val="2"/>
    </font>
    <font>
      <b/>
      <sz val="11"/>
      <color rgb="FFFF0000"/>
      <name val="Calibri"/>
      <family val="2"/>
      <scheme val="minor"/>
    </font>
    <font>
      <b/>
      <sz val="14"/>
      <color theme="1"/>
      <name val="Calibri"/>
      <family val="2"/>
      <scheme val="minor"/>
    </font>
    <font>
      <b/>
      <sz val="11"/>
      <color rgb="FF0000FF"/>
      <name val="Arial"/>
      <family val="2"/>
    </font>
    <font>
      <b/>
      <sz val="11"/>
      <color theme="0"/>
      <name val="Calibri"/>
      <family val="2"/>
      <scheme val="minor"/>
    </font>
    <font>
      <i/>
      <sz val="12"/>
      <color theme="9" tint="-0.249977111117893"/>
      <name val="Arial"/>
      <family val="2"/>
    </font>
    <font>
      <i/>
      <sz val="16"/>
      <color theme="9" tint="-0.249977111117893"/>
      <name val="Arial"/>
      <family val="2"/>
    </font>
    <font>
      <b/>
      <sz val="18"/>
      <color rgb="FF0000FF"/>
      <name val="Arial"/>
      <family val="2"/>
    </font>
    <font>
      <b/>
      <sz val="12"/>
      <color theme="1"/>
      <name val="Arial"/>
      <family val="2"/>
    </font>
    <font>
      <sz val="20"/>
      <color theme="1"/>
      <name val="Arial"/>
      <family val="2"/>
    </font>
    <font>
      <b/>
      <sz val="14"/>
      <color rgb="FF0000FF"/>
      <name val="Arial"/>
      <family val="2"/>
    </font>
    <font>
      <u/>
      <sz val="10"/>
      <color theme="1"/>
      <name val="Arial"/>
      <family val="2"/>
    </font>
    <font>
      <i/>
      <sz val="10"/>
      <color theme="1"/>
      <name val="Arial"/>
      <family val="2"/>
    </font>
    <font>
      <i/>
      <u/>
      <sz val="10"/>
      <color theme="1"/>
      <name val="Arial"/>
      <family val="2"/>
    </font>
    <font>
      <u/>
      <sz val="10"/>
      <name val="Arial"/>
      <family val="2"/>
    </font>
    <font>
      <b/>
      <sz val="12"/>
      <color rgb="FF0000FF"/>
      <name val="Arial"/>
      <family val="2"/>
    </font>
    <font>
      <b/>
      <sz val="16"/>
      <color rgb="FFFF0000"/>
      <name val="Arial"/>
      <family val="2"/>
    </font>
    <font>
      <b/>
      <sz val="14"/>
      <color theme="1"/>
      <name val="Arial"/>
      <family val="2"/>
    </font>
    <font>
      <i/>
      <sz val="12"/>
      <color theme="1"/>
      <name val="Arial"/>
      <family val="2"/>
    </font>
    <font>
      <vertAlign val="superscript"/>
      <sz val="12"/>
      <color indexed="8"/>
      <name val="Arial"/>
      <family val="2"/>
    </font>
    <font>
      <i/>
      <sz val="11"/>
      <color theme="1"/>
      <name val="Arial"/>
      <family val="2"/>
    </font>
    <font>
      <b/>
      <sz val="40"/>
      <color rgb="FFFF0000"/>
      <name val="Arial"/>
      <family val="2"/>
    </font>
    <font>
      <b/>
      <sz val="20"/>
      <name val="Arial"/>
      <family val="2"/>
    </font>
    <font>
      <b/>
      <u/>
      <sz val="28"/>
      <color rgb="FFFF0000"/>
      <name val="Arial"/>
      <family val="2"/>
    </font>
    <font>
      <b/>
      <sz val="20"/>
      <color rgb="FFFF0000"/>
      <name val="Arial"/>
      <family val="2"/>
    </font>
    <font>
      <b/>
      <sz val="16"/>
      <name val="Arial"/>
      <family val="2"/>
    </font>
    <font>
      <b/>
      <u/>
      <sz val="16"/>
      <name val="Arial"/>
      <family val="2"/>
    </font>
    <font>
      <b/>
      <sz val="16"/>
      <color rgb="FF0000FF"/>
      <name val="Arial"/>
      <family val="2"/>
    </font>
    <font>
      <b/>
      <sz val="12"/>
      <color rgb="FFFF0000"/>
      <name val="Arial"/>
      <family val="2"/>
    </font>
    <font>
      <sz val="16"/>
      <name val="Arial"/>
      <family val="2"/>
    </font>
    <font>
      <b/>
      <sz val="15"/>
      <name val="Arial"/>
      <family val="2"/>
    </font>
    <font>
      <sz val="10"/>
      <color rgb="FFFF0000"/>
      <name val="Arial"/>
      <family val="2"/>
    </font>
    <font>
      <b/>
      <sz val="12"/>
      <color rgb="FF000000"/>
      <name val="Arial"/>
      <family val="2"/>
    </font>
    <font>
      <vertAlign val="superscript"/>
      <sz val="7"/>
      <color theme="1"/>
      <name val="Arial"/>
      <family val="2"/>
    </font>
    <font>
      <sz val="10"/>
      <color rgb="FF0000FF"/>
      <name val="Arial"/>
      <family val="2"/>
    </font>
    <font>
      <vertAlign val="superscript"/>
      <sz val="10"/>
      <color theme="1"/>
      <name val="Arial"/>
      <family val="2"/>
    </font>
    <font>
      <i/>
      <vertAlign val="superscript"/>
      <sz val="15"/>
      <name val="Arial"/>
      <family val="2"/>
    </font>
    <font>
      <i/>
      <sz val="15"/>
      <name val="Arial"/>
      <family val="2"/>
    </font>
    <font>
      <vertAlign val="superscript"/>
      <sz val="15"/>
      <name val="Arial"/>
      <family val="2"/>
    </font>
    <font>
      <sz val="15"/>
      <name val="Arial"/>
      <family val="2"/>
    </font>
    <font>
      <b/>
      <i/>
      <sz val="11"/>
      <color theme="1"/>
      <name val="Arial"/>
      <family val="2"/>
    </font>
    <font>
      <b/>
      <sz val="24"/>
      <color theme="1"/>
      <name val="Arial"/>
      <family val="2"/>
    </font>
    <font>
      <b/>
      <i/>
      <sz val="18"/>
      <color rgb="FF0000FF"/>
      <name val="Arial"/>
      <family val="2"/>
    </font>
    <font>
      <sz val="16"/>
      <color theme="1"/>
      <name val="Arial"/>
      <family val="2"/>
    </font>
    <font>
      <b/>
      <sz val="18"/>
      <color theme="1"/>
      <name val="Arial"/>
      <family val="2"/>
    </font>
    <font>
      <b/>
      <sz val="6"/>
      <color theme="1"/>
      <name val="Arial"/>
      <family val="2"/>
    </font>
    <font>
      <b/>
      <sz val="8"/>
      <color theme="1"/>
      <name val="Arial"/>
      <family val="2"/>
    </font>
    <font>
      <sz val="11"/>
      <color theme="6" tint="-0.249977111117893"/>
      <name val="Arial"/>
      <family val="2"/>
    </font>
    <font>
      <b/>
      <sz val="18"/>
      <color rgb="FFFF0000"/>
      <name val="Arial"/>
      <family val="2"/>
    </font>
    <font>
      <sz val="10"/>
      <color rgb="FF7030A0"/>
      <name val="Arial"/>
      <family val="2"/>
    </font>
    <font>
      <b/>
      <sz val="16"/>
      <color theme="9" tint="-0.249977111117893"/>
      <name val="Arial"/>
      <family val="2"/>
    </font>
    <font>
      <b/>
      <sz val="28"/>
      <name val="Calibri"/>
      <family val="2"/>
    </font>
    <font>
      <b/>
      <sz val="18"/>
      <name val="Calibri"/>
      <family val="2"/>
    </font>
    <font>
      <sz val="11"/>
      <color theme="1"/>
      <name val="Arial"/>
    </font>
    <font>
      <b/>
      <sz val="28"/>
      <color rgb="FFFF0000"/>
      <name val="Arial"/>
      <family val="2"/>
    </font>
    <font>
      <b/>
      <sz val="10"/>
      <color rgb="FFFF0000"/>
      <name val="Arial"/>
      <family val="2"/>
    </font>
    <font>
      <b/>
      <sz val="18"/>
      <color theme="0"/>
      <name val="Arial"/>
      <family val="2"/>
    </font>
    <font>
      <b/>
      <sz val="22"/>
      <color theme="0"/>
      <name val="Arial"/>
      <family val="2"/>
    </font>
    <font>
      <b/>
      <sz val="11"/>
      <color theme="9" tint="-0.249977111117893"/>
      <name val="Arial"/>
      <family val="2"/>
    </font>
    <font>
      <u/>
      <sz val="11"/>
      <color theme="1"/>
      <name val="Arial"/>
      <family val="2"/>
    </font>
    <font>
      <b/>
      <u/>
      <sz val="9"/>
      <color indexed="81"/>
      <name val="Tahoma"/>
      <family val="2"/>
    </font>
    <font>
      <b/>
      <strike/>
      <sz val="14"/>
      <color theme="1"/>
      <name val="Calibri"/>
      <family val="2"/>
      <scheme val="minor"/>
    </font>
    <font>
      <b/>
      <sz val="14"/>
      <color theme="1"/>
      <name val="Calibri"/>
      <family val="2"/>
    </font>
    <font>
      <b/>
      <sz val="14"/>
      <color rgb="FFFF0000"/>
      <name val="Calibri"/>
      <family val="2"/>
      <scheme val="minor"/>
    </font>
    <font>
      <b/>
      <sz val="14"/>
      <color rgb="FFFF0000"/>
      <name val="Calibri"/>
      <family val="2"/>
    </font>
    <font>
      <b/>
      <u/>
      <sz val="18"/>
      <color theme="0"/>
      <name val="Arial"/>
      <family val="2"/>
    </font>
    <font>
      <b/>
      <u/>
      <sz val="12"/>
      <color rgb="FFFF0000"/>
      <name val="Arial"/>
      <family val="2"/>
    </font>
    <font>
      <b/>
      <sz val="11"/>
      <name val="Marianne"/>
      <family val="3"/>
    </font>
    <font>
      <b/>
      <sz val="11"/>
      <color rgb="FF0000FF"/>
      <name val="Marianne"/>
      <family val="3"/>
    </font>
    <font>
      <b/>
      <sz val="11"/>
      <color theme="1"/>
      <name val="Marianne"/>
      <family val="3"/>
    </font>
    <font>
      <b/>
      <sz val="20"/>
      <color indexed="81"/>
      <name val="Tahoma"/>
      <family val="2"/>
    </font>
    <font>
      <vertAlign val="superscript"/>
      <sz val="12"/>
      <color theme="1"/>
      <name val="Arial"/>
      <family val="2"/>
    </font>
    <font>
      <b/>
      <i/>
      <u/>
      <sz val="12"/>
      <color rgb="FFFF0000"/>
      <name val="Arial"/>
      <family val="2"/>
    </font>
  </fonts>
  <fills count="40">
    <fill>
      <patternFill patternType="none"/>
    </fill>
    <fill>
      <patternFill patternType="gray125"/>
    </fill>
    <fill>
      <patternFill patternType="solid">
        <fgColor rgb="FFFFC000"/>
        <bgColor indexed="64"/>
      </patternFill>
    </fill>
    <fill>
      <patternFill patternType="solid">
        <fgColor theme="9" tint="0.59999389629810485"/>
        <bgColor indexed="64"/>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
      <patternFill patternType="solid">
        <fgColor rgb="FF99FF99"/>
        <bgColor indexed="64"/>
      </patternFill>
    </fill>
    <fill>
      <patternFill patternType="solid">
        <fgColor theme="0" tint="-0.249977111117893"/>
        <bgColor indexed="64"/>
      </patternFill>
    </fill>
    <fill>
      <patternFill patternType="solid">
        <fgColor rgb="FFFFFFFF"/>
        <bgColor rgb="FFFFFFFF"/>
      </patternFill>
    </fill>
    <fill>
      <patternFill patternType="solid">
        <fgColor theme="7" tint="0.59999389629810485"/>
        <bgColor indexed="64"/>
      </patternFill>
    </fill>
    <fill>
      <patternFill patternType="solid">
        <fgColor theme="8" tint="0.39997558519241921"/>
        <bgColor indexed="64"/>
      </patternFill>
    </fill>
    <fill>
      <patternFill patternType="solid">
        <fgColor rgb="FF00B0F0"/>
        <bgColor indexed="64"/>
      </patternFill>
    </fill>
    <fill>
      <patternFill patternType="solid">
        <fgColor rgb="FFCCFFCC"/>
        <bgColor indexed="64"/>
      </patternFill>
    </fill>
    <fill>
      <patternFill patternType="solid">
        <fgColor rgb="FFFCD5B4"/>
        <bgColor indexed="64"/>
      </patternFill>
    </fill>
    <fill>
      <patternFill patternType="solid">
        <fgColor rgb="FFD9D9D9"/>
        <bgColor indexed="64"/>
      </patternFill>
    </fill>
    <fill>
      <patternFill patternType="solid">
        <fgColor theme="5" tint="0.59999389629810485"/>
        <bgColor indexed="64"/>
      </patternFill>
    </fill>
    <fill>
      <patternFill patternType="solid">
        <fgColor rgb="FFF2F2F2"/>
        <bgColor indexed="64"/>
      </patternFill>
    </fill>
    <fill>
      <patternFill patternType="solid">
        <fgColor rgb="FFEEECE1"/>
        <bgColor indexed="64"/>
      </patternFill>
    </fill>
    <fill>
      <patternFill patternType="solid">
        <fgColor rgb="FFDDD9C4"/>
        <bgColor indexed="64"/>
      </patternFill>
    </fill>
    <fill>
      <patternFill patternType="solid">
        <fgColor theme="3" tint="0.79998168889431442"/>
        <bgColor indexed="64"/>
      </patternFill>
    </fill>
    <fill>
      <patternFill patternType="solid">
        <fgColor rgb="FFFDE9D9"/>
        <bgColor indexed="64"/>
      </patternFill>
    </fill>
    <fill>
      <patternFill patternType="solid">
        <fgColor rgb="FFC4D79B"/>
        <bgColor indexed="64"/>
      </patternFill>
    </fill>
    <fill>
      <patternFill patternType="solid">
        <fgColor theme="7" tint="0.39997558519241921"/>
        <bgColor indexed="64"/>
      </patternFill>
    </fill>
    <fill>
      <patternFill patternType="solid">
        <fgColor rgb="FFFFFF99"/>
        <bgColor indexed="64"/>
      </patternFill>
    </fill>
    <fill>
      <patternFill patternType="solid">
        <fgColor theme="1"/>
        <bgColor indexed="64"/>
      </patternFill>
    </fill>
    <fill>
      <patternFill patternType="solid">
        <fgColor theme="0" tint="-0.14999847407452621"/>
        <bgColor theme="4" tint="0.79998168889431442"/>
      </patternFill>
    </fill>
    <fill>
      <patternFill patternType="solid">
        <fgColor theme="5" tint="0.59999389629810485"/>
        <bgColor theme="4" tint="0.79998168889431442"/>
      </patternFill>
    </fill>
    <fill>
      <patternFill patternType="solid">
        <fgColor theme="4" tint="0.59999389629810485"/>
        <bgColor theme="4" tint="0.79998168889431442"/>
      </patternFill>
    </fill>
    <fill>
      <patternFill patternType="solid">
        <fgColor rgb="FFB8CCE4"/>
        <bgColor theme="4" tint="0.79998168889431442"/>
      </patternFill>
    </fill>
    <fill>
      <patternFill patternType="solid">
        <fgColor rgb="FFB8CCE4"/>
        <bgColor indexed="64"/>
      </patternFill>
    </fill>
    <fill>
      <patternFill patternType="solid">
        <fgColor rgb="FFFF0000"/>
        <bgColor indexed="64"/>
      </patternFill>
    </fill>
    <fill>
      <patternFill patternType="solid">
        <fgColor rgb="FF00B050"/>
        <bgColor indexed="64"/>
      </patternFill>
    </fill>
    <fill>
      <patternFill patternType="lightHorizontal"/>
    </fill>
    <fill>
      <patternFill patternType="solid">
        <fgColor rgb="FF4BACC6"/>
        <bgColor indexed="64"/>
      </patternFill>
    </fill>
    <fill>
      <patternFill patternType="gray0625"/>
    </fill>
    <fill>
      <patternFill patternType="solid">
        <fgColor theme="6" tint="0.59999389629810485"/>
        <bgColor indexed="64"/>
      </patternFill>
    </fill>
    <fill>
      <patternFill patternType="solid">
        <fgColor theme="6" tint="0.59999389629810485"/>
        <bgColor theme="4" tint="0.79998168889431442"/>
      </patternFill>
    </fill>
    <fill>
      <patternFill patternType="solid">
        <fgColor rgb="FFBF8F0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s>
  <cellStyleXfs count="15">
    <xf numFmtId="0" fontId="0" fillId="0" borderId="0"/>
    <xf numFmtId="0" fontId="1"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0" fontId="5" fillId="0" borderId="0"/>
    <xf numFmtId="0" fontId="8" fillId="0" borderId="0"/>
    <xf numFmtId="0" fontId="7" fillId="0" borderId="0"/>
    <xf numFmtId="0" fontId="1" fillId="0" borderId="0"/>
    <xf numFmtId="169" fontId="9" fillId="0" borderId="0"/>
    <xf numFmtId="169" fontId="10" fillId="0" borderId="0"/>
    <xf numFmtId="44"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15" fillId="0" borderId="0"/>
  </cellStyleXfs>
  <cellXfs count="617">
    <xf numFmtId="0" fontId="0" fillId="0" borderId="0" xfId="0"/>
    <xf numFmtId="0" fontId="3" fillId="0" borderId="54" xfId="0" applyFont="1" applyFill="1" applyBorder="1" applyAlignment="1">
      <alignment horizontal="center" vertical="center" wrapText="1"/>
    </xf>
    <xf numFmtId="0" fontId="13" fillId="0" borderId="1" xfId="0" applyFont="1" applyFill="1" applyBorder="1" applyAlignment="1">
      <alignment horizontal="center" vertical="center"/>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13" fillId="7" borderId="1" xfId="0" applyFont="1" applyFill="1" applyBorder="1" applyAlignment="1">
      <alignment horizontal="center" vertical="center"/>
    </xf>
    <xf numFmtId="49" fontId="3" fillId="7"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9" fontId="3" fillId="6" borderId="54" xfId="0" applyNumberFormat="1" applyFont="1" applyFill="1" applyBorder="1" applyAlignment="1">
      <alignment horizontal="center" vertical="center" wrapText="1"/>
    </xf>
    <xf numFmtId="9" fontId="3" fillId="6" borderId="1" xfId="0" applyNumberFormat="1" applyFont="1" applyFill="1" applyBorder="1" applyAlignment="1">
      <alignment horizontal="center" vertical="center" wrapText="1"/>
    </xf>
    <xf numFmtId="0" fontId="3" fillId="7" borderId="54" xfId="0" applyFont="1" applyFill="1" applyBorder="1" applyAlignment="1">
      <alignment horizontal="center" vertical="center" wrapText="1"/>
    </xf>
    <xf numFmtId="0" fontId="3" fillId="0" borderId="54" xfId="0" applyFont="1" applyFill="1" applyBorder="1" applyAlignment="1">
      <alignment vertical="center" wrapText="1"/>
    </xf>
    <xf numFmtId="0" fontId="17" fillId="15" borderId="9" xfId="1" applyFont="1" applyFill="1" applyBorder="1" applyAlignment="1">
      <alignment horizontal="center" vertical="center"/>
    </xf>
    <xf numFmtId="9" fontId="18" fillId="15" borderId="8" xfId="1" applyNumberFormat="1" applyFont="1" applyFill="1" applyBorder="1" applyAlignment="1">
      <alignment horizontal="center" vertical="center"/>
    </xf>
    <xf numFmtId="0" fontId="19" fillId="0" borderId="0" xfId="1" applyFont="1" applyAlignment="1">
      <alignment vertical="center"/>
    </xf>
    <xf numFmtId="0" fontId="17" fillId="0" borderId="0" xfId="1" applyFont="1" applyAlignment="1">
      <alignment horizontal="center"/>
    </xf>
    <xf numFmtId="165" fontId="21" fillId="19" borderId="14" xfId="1" applyNumberFormat="1" applyFont="1" applyFill="1" applyBorder="1" applyAlignment="1">
      <alignment horizontal="center" vertical="center"/>
    </xf>
    <xf numFmtId="165" fontId="21" fillId="20" borderId="9" xfId="1" applyNumberFormat="1" applyFont="1" applyFill="1" applyBorder="1" applyAlignment="1">
      <alignment horizontal="center" vertical="center"/>
    </xf>
    <xf numFmtId="165" fontId="1" fillId="19" borderId="9" xfId="1" applyNumberFormat="1" applyFont="1" applyFill="1" applyBorder="1" applyAlignment="1">
      <alignment horizontal="center" vertical="center"/>
    </xf>
    <xf numFmtId="165" fontId="1" fillId="20" borderId="9" xfId="1" applyNumberFormat="1" applyFont="1" applyFill="1" applyBorder="1" applyAlignment="1">
      <alignment horizontal="center" vertical="center"/>
    </xf>
    <xf numFmtId="0" fontId="13" fillId="7" borderId="1" xfId="0" applyFont="1" applyFill="1" applyBorder="1" applyAlignment="1">
      <alignment horizontal="center" vertical="center" wrapText="1"/>
    </xf>
    <xf numFmtId="169" fontId="13" fillId="10" borderId="54" xfId="9" applyFont="1" applyFill="1" applyBorder="1" applyAlignment="1">
      <alignment horizontal="center" vertical="center" wrapText="1"/>
    </xf>
    <xf numFmtId="169" fontId="13" fillId="10" borderId="1" xfId="9" applyFont="1" applyFill="1" applyBorder="1" applyAlignment="1">
      <alignment horizontal="center" vertical="center" wrapText="1"/>
    </xf>
    <xf numFmtId="0" fontId="8" fillId="0" borderId="0" xfId="0" applyFont="1" applyFill="1" applyAlignment="1">
      <alignment vertical="center"/>
    </xf>
    <xf numFmtId="0" fontId="24" fillId="0" borderId="0" xfId="0" applyFont="1" applyFill="1" applyAlignment="1">
      <alignment horizontal="left" vertical="center"/>
    </xf>
    <xf numFmtId="0" fontId="8" fillId="0" borderId="0" xfId="0" applyFont="1" applyFill="1" applyBorder="1" applyAlignment="1">
      <alignment vertical="center"/>
    </xf>
    <xf numFmtId="0" fontId="22" fillId="0" borderId="0" xfId="0" applyFont="1" applyFill="1" applyBorder="1" applyAlignment="1">
      <alignment horizontal="center" vertical="center" wrapText="1"/>
    </xf>
    <xf numFmtId="0" fontId="22" fillId="0" borderId="0" xfId="0" applyFont="1" applyFill="1" applyAlignment="1">
      <alignment vertical="center"/>
    </xf>
    <xf numFmtId="0" fontId="8" fillId="0" borderId="0" xfId="0" applyFont="1" applyFill="1" applyAlignment="1">
      <alignment horizontal="left" vertical="center"/>
    </xf>
    <xf numFmtId="0" fontId="8" fillId="0" borderId="0" xfId="0" applyFont="1" applyFill="1" applyAlignment="1">
      <alignment horizontal="right" vertical="center"/>
    </xf>
    <xf numFmtId="3" fontId="8" fillId="0" borderId="0" xfId="0" applyNumberFormat="1" applyFont="1" applyFill="1" applyAlignment="1">
      <alignment horizontal="center" vertical="center"/>
    </xf>
    <xf numFmtId="0" fontId="8" fillId="0" borderId="1" xfId="0" applyFont="1" applyFill="1" applyBorder="1" applyAlignment="1">
      <alignment vertical="center"/>
    </xf>
    <xf numFmtId="0" fontId="8" fillId="0" borderId="1" xfId="0" applyFont="1" applyFill="1" applyBorder="1" applyAlignment="1">
      <alignment horizontal="right" vertical="center"/>
    </xf>
    <xf numFmtId="173" fontId="8" fillId="0" borderId="1" xfId="0" applyNumberFormat="1" applyFont="1" applyFill="1" applyBorder="1" applyAlignment="1">
      <alignment vertical="center"/>
    </xf>
    <xf numFmtId="0" fontId="8" fillId="0" borderId="0" xfId="0" applyFont="1" applyFill="1" applyBorder="1" applyAlignment="1">
      <alignment horizontal="center" vertical="center" wrapText="1"/>
    </xf>
    <xf numFmtId="170" fontId="26" fillId="0" borderId="1" xfId="0" applyNumberFormat="1" applyFont="1" applyFill="1" applyBorder="1" applyAlignment="1">
      <alignment vertical="center"/>
    </xf>
    <xf numFmtId="171" fontId="8" fillId="0" borderId="1" xfId="0" applyNumberFormat="1" applyFont="1" applyFill="1" applyBorder="1" applyAlignment="1">
      <alignment vertical="center"/>
    </xf>
    <xf numFmtId="44" fontId="25" fillId="0" borderId="0" xfId="0" applyNumberFormat="1" applyFont="1" applyFill="1" applyBorder="1" applyAlignment="1">
      <alignment vertical="center"/>
    </xf>
    <xf numFmtId="44" fontId="8" fillId="0" borderId="0" xfId="0" applyNumberFormat="1" applyFont="1" applyFill="1" applyBorder="1" applyAlignment="1">
      <alignment vertical="center"/>
    </xf>
    <xf numFmtId="166" fontId="8" fillId="0" borderId="0" xfId="0" applyNumberFormat="1" applyFont="1" applyFill="1" applyBorder="1" applyAlignment="1">
      <alignment horizontal="left" vertical="center"/>
    </xf>
    <xf numFmtId="168" fontId="26" fillId="0" borderId="0" xfId="0" applyNumberFormat="1" applyFont="1" applyFill="1" applyBorder="1" applyAlignment="1">
      <alignment vertical="center"/>
    </xf>
    <xf numFmtId="0" fontId="8" fillId="0" borderId="0" xfId="0" applyFont="1" applyFill="1" applyBorder="1" applyAlignment="1">
      <alignment horizontal="right" vertical="center"/>
    </xf>
    <xf numFmtId="171" fontId="8" fillId="0" borderId="0" xfId="0" applyNumberFormat="1" applyFont="1" applyFill="1" applyBorder="1" applyAlignment="1">
      <alignment vertical="center"/>
    </xf>
    <xf numFmtId="9" fontId="25" fillId="0" borderId="1" xfId="13" applyFont="1" applyFill="1" applyBorder="1" applyAlignment="1">
      <alignment horizontal="center" vertical="center"/>
    </xf>
    <xf numFmtId="44" fontId="8" fillId="0" borderId="1" xfId="0" applyNumberFormat="1" applyFont="1" applyFill="1" applyBorder="1" applyAlignment="1">
      <alignment vertical="center"/>
    </xf>
    <xf numFmtId="44" fontId="8" fillId="0" borderId="1" xfId="11" applyFont="1" applyFill="1" applyBorder="1" applyAlignment="1">
      <alignment vertical="center"/>
    </xf>
    <xf numFmtId="9" fontId="25" fillId="0" borderId="1" xfId="13" applyFont="1" applyFill="1" applyBorder="1" applyAlignment="1">
      <alignment vertical="center"/>
    </xf>
    <xf numFmtId="0" fontId="22" fillId="0" borderId="0" xfId="0" applyFont="1" applyFill="1" applyAlignment="1">
      <alignment horizontal="center" vertical="center"/>
    </xf>
    <xf numFmtId="0" fontId="22" fillId="0" borderId="0" xfId="0" applyFont="1" applyFill="1" applyBorder="1" applyAlignment="1">
      <alignment vertical="center"/>
    </xf>
    <xf numFmtId="44" fontId="22" fillId="0" borderId="0" xfId="11" applyFont="1" applyFill="1" applyBorder="1" applyAlignment="1">
      <alignment vertical="center"/>
    </xf>
    <xf numFmtId="0" fontId="8" fillId="0" borderId="1" xfId="0" applyFont="1" applyFill="1" applyBorder="1" applyAlignment="1">
      <alignment vertical="center" wrapText="1"/>
    </xf>
    <xf numFmtId="168" fontId="26" fillId="0" borderId="1" xfId="0" applyNumberFormat="1" applyFont="1" applyFill="1" applyBorder="1" applyAlignment="1">
      <alignment vertical="center"/>
    </xf>
    <xf numFmtId="166" fontId="26" fillId="0" borderId="1" xfId="0" applyNumberFormat="1" applyFont="1" applyFill="1" applyBorder="1" applyAlignment="1">
      <alignment vertical="center"/>
    </xf>
    <xf numFmtId="0" fontId="26" fillId="0" borderId="1" xfId="0" applyFont="1" applyFill="1" applyBorder="1" applyAlignment="1">
      <alignment horizontal="center" vertical="center"/>
    </xf>
    <xf numFmtId="0" fontId="28" fillId="0" borderId="41" xfId="0" applyFont="1" applyFill="1" applyBorder="1" applyAlignment="1">
      <alignment horizontal="center" vertical="center"/>
    </xf>
    <xf numFmtId="0" fontId="8" fillId="0" borderId="19" xfId="0" applyFont="1" applyFill="1" applyBorder="1" applyAlignment="1">
      <alignment horizontal="center" vertical="center" wrapText="1"/>
    </xf>
    <xf numFmtId="172" fontId="26" fillId="0" borderId="54" xfId="12" applyNumberFormat="1" applyFont="1" applyFill="1" applyBorder="1" applyAlignment="1">
      <alignment horizontal="center" vertical="center"/>
    </xf>
    <xf numFmtId="44" fontId="8" fillId="0" borderId="31" xfId="0" applyNumberFormat="1" applyFont="1" applyFill="1" applyBorder="1" applyAlignment="1">
      <alignment vertical="center"/>
    </xf>
    <xf numFmtId="166" fontId="8" fillId="0" borderId="0" xfId="0" applyNumberFormat="1" applyFont="1" applyFill="1" applyAlignment="1">
      <alignment horizontal="right" vertical="center"/>
    </xf>
    <xf numFmtId="0" fontId="26" fillId="0" borderId="12" xfId="0" applyFont="1" applyFill="1" applyBorder="1" applyAlignment="1">
      <alignment horizontal="center" vertical="center"/>
    </xf>
    <xf numFmtId="172" fontId="26" fillId="0" borderId="1" xfId="12" applyNumberFormat="1" applyFont="1" applyFill="1" applyBorder="1" applyAlignment="1">
      <alignment horizontal="center" vertical="center"/>
    </xf>
    <xf numFmtId="44" fontId="8" fillId="0" borderId="30" xfId="0" applyNumberFormat="1" applyFont="1" applyFill="1" applyBorder="1" applyAlignment="1">
      <alignment vertical="center"/>
    </xf>
    <xf numFmtId="44" fontId="8" fillId="0" borderId="0" xfId="0" applyNumberFormat="1" applyFont="1" applyFill="1" applyAlignment="1">
      <alignment vertical="center"/>
    </xf>
    <xf numFmtId="0" fontId="22" fillId="0" borderId="8" xfId="0" applyFont="1" applyFill="1" applyBorder="1" applyAlignment="1">
      <alignment horizontal="center" vertical="center"/>
    </xf>
    <xf numFmtId="0" fontId="26" fillId="0" borderId="41" xfId="0" applyFont="1" applyFill="1" applyBorder="1" applyAlignment="1">
      <alignment horizontal="center" vertical="center"/>
    </xf>
    <xf numFmtId="172" fontId="26" fillId="0" borderId="51" xfId="12" applyNumberFormat="1" applyFont="1" applyFill="1" applyBorder="1" applyAlignment="1">
      <alignment horizontal="center" vertical="center"/>
    </xf>
    <xf numFmtId="44" fontId="8" fillId="0" borderId="42" xfId="0" applyNumberFormat="1" applyFont="1" applyFill="1" applyBorder="1" applyAlignment="1">
      <alignment vertical="center"/>
    </xf>
    <xf numFmtId="10" fontId="27" fillId="0" borderId="0" xfId="0" applyNumberFormat="1" applyFont="1" applyFill="1" applyAlignment="1">
      <alignment horizontal="left" vertical="center"/>
    </xf>
    <xf numFmtId="172" fontId="8" fillId="0" borderId="1" xfId="12" applyNumberFormat="1" applyFont="1" applyFill="1" applyBorder="1" applyAlignment="1">
      <alignment vertical="center"/>
    </xf>
    <xf numFmtId="9" fontId="8" fillId="0" borderId="0" xfId="13" applyFont="1" applyFill="1" applyBorder="1" applyAlignment="1">
      <alignment vertical="center"/>
    </xf>
    <xf numFmtId="0" fontId="27" fillId="0" borderId="0" xfId="0" applyFont="1" applyFill="1" applyBorder="1" applyAlignment="1">
      <alignment vertical="center"/>
    </xf>
    <xf numFmtId="166" fontId="27" fillId="0" borderId="0" xfId="0" applyNumberFormat="1" applyFont="1" applyFill="1" applyBorder="1" applyAlignment="1">
      <alignment vertical="center"/>
    </xf>
    <xf numFmtId="172" fontId="8" fillId="0" borderId="51" xfId="12" applyNumberFormat="1" applyFont="1" applyFill="1" applyBorder="1" applyAlignment="1">
      <alignment vertical="center"/>
    </xf>
    <xf numFmtId="43" fontId="8" fillId="0" borderId="0" xfId="12" applyFont="1" applyFill="1" applyAlignment="1">
      <alignment vertical="center"/>
    </xf>
    <xf numFmtId="0" fontId="8" fillId="22" borderId="19" xfId="0" applyFont="1" applyFill="1" applyBorder="1" applyAlignment="1">
      <alignment horizontal="center" vertical="center" wrapText="1"/>
    </xf>
    <xf numFmtId="44" fontId="8" fillId="22" borderId="31" xfId="0" applyNumberFormat="1" applyFont="1" applyFill="1" applyBorder="1" applyAlignment="1">
      <alignment vertical="center"/>
    </xf>
    <xf numFmtId="0" fontId="26" fillId="23" borderId="12" xfId="0" applyFont="1" applyFill="1" applyBorder="1" applyAlignment="1">
      <alignment horizontal="center" vertical="center"/>
    </xf>
    <xf numFmtId="44" fontId="8" fillId="23" borderId="30" xfId="0" applyNumberFormat="1" applyFont="1" applyFill="1" applyBorder="1" applyAlignment="1">
      <alignment vertical="center"/>
    </xf>
    <xf numFmtId="0" fontId="31" fillId="0" borderId="0" xfId="1" applyFont="1" applyAlignment="1"/>
    <xf numFmtId="0" fontId="8" fillId="0" borderId="12" xfId="0" applyFont="1" applyFill="1" applyBorder="1" applyAlignment="1">
      <alignment horizontal="right" wrapText="1"/>
    </xf>
    <xf numFmtId="0" fontId="30" fillId="0" borderId="0" xfId="0" applyFont="1"/>
    <xf numFmtId="44" fontId="8" fillId="14" borderId="31" xfId="11" applyFont="1" applyFill="1" applyBorder="1" applyAlignment="1">
      <alignment horizontal="center"/>
    </xf>
    <xf numFmtId="0" fontId="34" fillId="4" borderId="0" xfId="0" applyFont="1" applyFill="1" applyAlignment="1">
      <alignment horizontal="center"/>
    </xf>
    <xf numFmtId="0" fontId="34" fillId="26" borderId="0" xfId="0" applyFont="1" applyFill="1" applyAlignment="1">
      <alignment horizontal="center"/>
    </xf>
    <xf numFmtId="0" fontId="34" fillId="0" borderId="0" xfId="0" applyFont="1" applyAlignment="1">
      <alignment horizontal="center"/>
    </xf>
    <xf numFmtId="0" fontId="36" fillId="26" borderId="0" xfId="0" applyFont="1" applyFill="1"/>
    <xf numFmtId="0" fontId="0" fillId="26" borderId="0" xfId="0" applyFill="1"/>
    <xf numFmtId="0" fontId="0" fillId="26" borderId="0" xfId="0" applyFont="1" applyFill="1"/>
    <xf numFmtId="0" fontId="33" fillId="0" borderId="0" xfId="0" applyFont="1"/>
    <xf numFmtId="0" fontId="3" fillId="7" borderId="1" xfId="0" applyNumberFormat="1" applyFont="1" applyFill="1" applyBorder="1" applyAlignment="1">
      <alignment horizontal="center" vertical="center"/>
    </xf>
    <xf numFmtId="0" fontId="8" fillId="0" borderId="0" xfId="0" applyFont="1"/>
    <xf numFmtId="2" fontId="3" fillId="7" borderId="1" xfId="0" applyNumberFormat="1"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xf numFmtId="0" fontId="8" fillId="0" borderId="0" xfId="0" applyFont="1" applyAlignment="1">
      <alignment horizontal="left" vertical="center" wrapText="1"/>
    </xf>
    <xf numFmtId="0" fontId="8" fillId="0" borderId="0" xfId="0" applyFont="1" applyAlignment="1">
      <alignment horizontal="center"/>
    </xf>
    <xf numFmtId="0" fontId="13" fillId="9" borderId="8" xfId="0" applyFont="1" applyFill="1" applyBorder="1" applyAlignment="1">
      <alignment horizontal="center" vertical="center" wrapText="1"/>
    </xf>
    <xf numFmtId="4" fontId="1" fillId="6" borderId="1" xfId="0" applyNumberFormat="1" applyFont="1" applyFill="1" applyBorder="1" applyAlignment="1">
      <alignment horizontal="center" vertical="center" wrapText="1"/>
    </xf>
    <xf numFmtId="0" fontId="6" fillId="6" borderId="5" xfId="0" applyFont="1" applyFill="1" applyBorder="1" applyAlignment="1">
      <alignment horizontal="center" vertical="center"/>
    </xf>
    <xf numFmtId="0" fontId="6" fillId="6" borderId="1" xfId="0" applyFont="1" applyFill="1" applyBorder="1" applyAlignment="1">
      <alignment horizontal="center" vertical="center"/>
    </xf>
    <xf numFmtId="3" fontId="6" fillId="6" borderId="1" xfId="0" applyNumberFormat="1" applyFont="1" applyFill="1" applyBorder="1" applyAlignment="1">
      <alignment horizontal="center" vertical="center"/>
    </xf>
    <xf numFmtId="4" fontId="6" fillId="6" borderId="1" xfId="0" applyNumberFormat="1" applyFont="1" applyFill="1" applyBorder="1" applyAlignment="1">
      <alignment horizontal="center" vertical="center"/>
    </xf>
    <xf numFmtId="0" fontId="8" fillId="0" borderId="0" xfId="0" applyFont="1" applyBorder="1"/>
    <xf numFmtId="0" fontId="8" fillId="0" borderId="1" xfId="0" applyFont="1" applyBorder="1" applyAlignment="1">
      <alignment vertical="center" wrapText="1"/>
    </xf>
    <xf numFmtId="49" fontId="3" fillId="0" borderId="5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0" fontId="13" fillId="7" borderId="1" xfId="0" applyNumberFormat="1" applyFont="1" applyFill="1" applyBorder="1" applyAlignment="1">
      <alignment horizontal="center" vertical="center"/>
    </xf>
    <xf numFmtId="49" fontId="13" fillId="7" borderId="1" xfId="0" applyNumberFormat="1" applyFont="1" applyFill="1" applyBorder="1" applyAlignment="1">
      <alignment horizontal="center" vertical="center" wrapText="1"/>
    </xf>
    <xf numFmtId="0" fontId="1" fillId="0" borderId="0" xfId="1" applyFont="1"/>
    <xf numFmtId="0" fontId="1" fillId="0" borderId="0" xfId="1" applyFont="1" applyAlignment="1">
      <alignment vertical="center"/>
    </xf>
    <xf numFmtId="0" fontId="21" fillId="0" borderId="0" xfId="1" applyFont="1" applyFill="1" applyBorder="1" applyAlignment="1">
      <alignment horizontal="center" vertical="center" wrapText="1"/>
    </xf>
    <xf numFmtId="0" fontId="13" fillId="0" borderId="9" xfId="0" applyFont="1" applyFill="1" applyBorder="1" applyAlignment="1">
      <alignment horizontal="center" vertical="center" wrapText="1"/>
    </xf>
    <xf numFmtId="165" fontId="13" fillId="19" borderId="9" xfId="1" applyNumberFormat="1" applyFont="1" applyFill="1" applyBorder="1" applyAlignment="1">
      <alignment horizontal="center" vertical="center" wrapText="1"/>
    </xf>
    <xf numFmtId="165" fontId="13" fillId="20" borderId="9" xfId="11" applyNumberFormat="1" applyFont="1" applyFill="1" applyBorder="1" applyAlignment="1">
      <alignment horizontal="center" vertical="center" wrapText="1"/>
    </xf>
    <xf numFmtId="165" fontId="40" fillId="0" borderId="0" xfId="11" applyNumberFormat="1" applyFont="1" applyFill="1" applyBorder="1" applyAlignment="1">
      <alignment horizontal="center" vertical="center" wrapText="1"/>
    </xf>
    <xf numFmtId="169" fontId="13" fillId="0" borderId="54" xfId="9" applyFont="1" applyFill="1" applyBorder="1" applyAlignment="1">
      <alignment horizontal="center" vertical="center" wrapText="1"/>
    </xf>
    <xf numFmtId="169" fontId="13" fillId="0" borderId="1" xfId="9" applyFont="1" applyFill="1" applyBorder="1" applyAlignment="1">
      <alignment horizontal="center" vertical="center" wrapText="1"/>
    </xf>
    <xf numFmtId="0" fontId="3" fillId="0" borderId="1" xfId="0" applyNumberFormat="1" applyFont="1" applyFill="1" applyBorder="1" applyAlignment="1">
      <alignment horizontal="center" vertical="center"/>
    </xf>
    <xf numFmtId="4" fontId="1" fillId="16" borderId="1" xfId="0" applyNumberFormat="1" applyFont="1" applyFill="1" applyBorder="1" applyAlignment="1">
      <alignment horizontal="center" vertical="center" wrapText="1"/>
    </xf>
    <xf numFmtId="3" fontId="3" fillId="16" borderId="54" xfId="0" applyNumberFormat="1" applyFont="1" applyFill="1" applyBorder="1" applyAlignment="1">
      <alignment horizontal="center" vertical="center" wrapText="1"/>
    </xf>
    <xf numFmtId="0" fontId="13" fillId="9" borderId="7" xfId="0" applyFont="1" applyFill="1" applyBorder="1" applyAlignment="1">
      <alignment horizontal="center" vertical="center" wrapText="1"/>
    </xf>
    <xf numFmtId="0" fontId="42" fillId="0" borderId="0" xfId="0" applyFont="1" applyAlignment="1">
      <alignment horizontal="left"/>
    </xf>
    <xf numFmtId="0" fontId="28" fillId="4" borderId="0" xfId="0" applyFont="1" applyFill="1"/>
    <xf numFmtId="0" fontId="16" fillId="0" borderId="0" xfId="1" applyFont="1" applyBorder="1" applyAlignment="1">
      <alignment vertical="center" wrapText="1"/>
    </xf>
    <xf numFmtId="0" fontId="16" fillId="0" borderId="0" xfId="1" applyFont="1" applyBorder="1" applyAlignment="1">
      <alignment horizontal="center" vertical="center" wrapText="1"/>
    </xf>
    <xf numFmtId="0" fontId="39" fillId="0" borderId="0" xfId="1" applyFont="1" applyBorder="1" applyAlignment="1">
      <alignment vertical="center" wrapText="1"/>
    </xf>
    <xf numFmtId="0" fontId="39" fillId="0" borderId="0" xfId="1" applyFont="1" applyBorder="1" applyAlignment="1">
      <alignment horizontal="left" vertical="center"/>
    </xf>
    <xf numFmtId="0" fontId="50" fillId="9" borderId="8" xfId="0" applyFont="1" applyFill="1" applyBorder="1" applyAlignment="1">
      <alignment horizontal="center" vertical="center" wrapText="1"/>
    </xf>
    <xf numFmtId="0" fontId="50" fillId="9" borderId="9" xfId="0" applyFont="1" applyFill="1" applyBorder="1" applyAlignment="1">
      <alignment horizontal="center" vertical="center" wrapText="1"/>
    </xf>
    <xf numFmtId="0" fontId="13" fillId="9" borderId="20" xfId="0" applyFont="1" applyFill="1" applyBorder="1" applyAlignment="1">
      <alignment horizontal="center" vertical="center" wrapText="1"/>
    </xf>
    <xf numFmtId="0" fontId="13" fillId="9" borderId="6" xfId="0" applyFont="1" applyFill="1" applyBorder="1" applyAlignment="1">
      <alignment horizontal="center" vertical="center" wrapText="1"/>
    </xf>
    <xf numFmtId="0" fontId="8" fillId="11" borderId="9" xfId="0" applyFont="1" applyFill="1" applyBorder="1" applyAlignment="1">
      <alignment horizontal="center" vertical="center" wrapText="1"/>
    </xf>
    <xf numFmtId="0" fontId="8" fillId="4" borderId="0" xfId="0" applyFont="1" applyFill="1"/>
    <xf numFmtId="0" fontId="13" fillId="6" borderId="9" xfId="0" applyFont="1" applyFill="1" applyBorder="1" applyAlignment="1">
      <alignment horizontal="center" vertical="center" wrapText="1"/>
    </xf>
    <xf numFmtId="0" fontId="13" fillId="6" borderId="9" xfId="0" applyFont="1" applyFill="1" applyBorder="1" applyAlignment="1">
      <alignment horizontal="left" wrapText="1"/>
    </xf>
    <xf numFmtId="0" fontId="53" fillId="4" borderId="0" xfId="0" applyFont="1" applyFill="1" applyAlignment="1">
      <alignment horizontal="left" vertical="center"/>
    </xf>
    <xf numFmtId="0" fontId="1" fillId="4" borderId="0" xfId="1" applyFont="1" applyFill="1"/>
    <xf numFmtId="0" fontId="54" fillId="0" borderId="0" xfId="1" applyFont="1" applyFill="1" applyBorder="1" applyAlignment="1">
      <alignment vertical="center"/>
    </xf>
    <xf numFmtId="0" fontId="57" fillId="0" borderId="0" xfId="1" applyFont="1" applyAlignment="1">
      <alignment vertical="center"/>
    </xf>
    <xf numFmtId="0" fontId="59" fillId="0" borderId="0" xfId="1" applyFont="1" applyBorder="1" applyAlignment="1">
      <alignment horizontal="right" vertical="center" wrapText="1"/>
    </xf>
    <xf numFmtId="0" fontId="48" fillId="0" borderId="0" xfId="1" applyFont="1" applyAlignment="1">
      <alignment horizontal="center" vertical="center"/>
    </xf>
    <xf numFmtId="0" fontId="48" fillId="0" borderId="0" xfId="1" applyFont="1" applyAlignment="1">
      <alignment vertical="center"/>
    </xf>
    <xf numFmtId="0" fontId="57" fillId="0" borderId="0" xfId="1" applyFont="1" applyBorder="1" applyAlignment="1">
      <alignment vertical="center" wrapText="1"/>
    </xf>
    <xf numFmtId="44" fontId="60" fillId="0" borderId="0" xfId="1" applyNumberFormat="1" applyFont="1" applyFill="1" applyBorder="1" applyAlignment="1">
      <alignment horizontal="center"/>
    </xf>
    <xf numFmtId="0" fontId="57" fillId="0" borderId="0" xfId="1" applyFont="1" applyFill="1" applyBorder="1" applyAlignment="1">
      <alignment vertical="center"/>
    </xf>
    <xf numFmtId="0" fontId="57" fillId="0" borderId="0" xfId="1" applyFont="1" applyFill="1" applyAlignment="1">
      <alignment vertical="center"/>
    </xf>
    <xf numFmtId="0" fontId="57" fillId="0" borderId="0" xfId="1" applyFont="1" applyFill="1"/>
    <xf numFmtId="0" fontId="17" fillId="0" borderId="0" xfId="1" applyFont="1" applyFill="1"/>
    <xf numFmtId="0" fontId="61" fillId="0" borderId="0" xfId="1" applyFont="1"/>
    <xf numFmtId="0" fontId="62" fillId="0" borderId="0" xfId="1" applyFont="1" applyAlignment="1">
      <alignment vertical="center"/>
    </xf>
    <xf numFmtId="0" fontId="63" fillId="0" borderId="0" xfId="1" applyFont="1"/>
    <xf numFmtId="0" fontId="16" fillId="0" borderId="0" xfId="1" applyFont="1" applyAlignment="1">
      <alignment vertical="center"/>
    </xf>
    <xf numFmtId="0" fontId="3" fillId="0" borderId="0" xfId="1" applyFont="1"/>
    <xf numFmtId="0" fontId="16" fillId="0" borderId="0" xfId="1" applyFont="1" applyFill="1" applyAlignment="1">
      <alignment horizontal="center" vertical="center"/>
    </xf>
    <xf numFmtId="0" fontId="1" fillId="0" borderId="0" xfId="1" applyFont="1" applyFill="1" applyAlignment="1">
      <alignment horizontal="center"/>
    </xf>
    <xf numFmtId="0" fontId="3" fillId="0" borderId="0" xfId="1" applyFont="1" applyFill="1"/>
    <xf numFmtId="0" fontId="64" fillId="16" borderId="9" xfId="1" applyFont="1" applyFill="1" applyBorder="1" applyAlignment="1">
      <alignment horizontal="center" vertical="center" wrapText="1"/>
    </xf>
    <xf numFmtId="0" fontId="64" fillId="16" borderId="9" xfId="1" applyFont="1" applyFill="1" applyBorder="1" applyAlignment="1">
      <alignment vertical="center" wrapText="1"/>
    </xf>
    <xf numFmtId="0" fontId="64" fillId="15" borderId="29" xfId="1" applyFont="1" applyFill="1" applyBorder="1" applyAlignment="1">
      <alignment vertical="center" wrapText="1"/>
    </xf>
    <xf numFmtId="0" fontId="21" fillId="18" borderId="9" xfId="1" applyFont="1" applyFill="1" applyBorder="1" applyAlignment="1">
      <alignment horizontal="center" vertical="center" wrapText="1"/>
    </xf>
    <xf numFmtId="165" fontId="40" fillId="15" borderId="9" xfId="1" applyNumberFormat="1" applyFont="1" applyFill="1" applyBorder="1" applyAlignment="1">
      <alignment horizontal="center" vertical="center" wrapText="1"/>
    </xf>
    <xf numFmtId="0" fontId="6" fillId="0" borderId="27" xfId="0" applyFont="1" applyFill="1" applyBorder="1" applyAlignment="1">
      <alignment horizontal="left" vertical="center"/>
    </xf>
    <xf numFmtId="0" fontId="68" fillId="0" borderId="14" xfId="0" applyFont="1" applyBorder="1" applyAlignment="1">
      <alignment horizontal="left" vertical="center"/>
    </xf>
    <xf numFmtId="0" fontId="71" fillId="0" borderId="55" xfId="1" applyFont="1" applyBorder="1" applyAlignment="1">
      <alignment horizontal="left" vertical="center"/>
    </xf>
    <xf numFmtId="0" fontId="71" fillId="0" borderId="55" xfId="1" applyFont="1" applyBorder="1"/>
    <xf numFmtId="0" fontId="71" fillId="0" borderId="8" xfId="1" applyFont="1" applyBorder="1"/>
    <xf numFmtId="0" fontId="71" fillId="0" borderId="0" xfId="1" applyFont="1"/>
    <xf numFmtId="0" fontId="71" fillId="0" borderId="0" xfId="1" applyFont="1" applyAlignment="1">
      <alignment horizontal="center" vertical="center"/>
    </xf>
    <xf numFmtId="0" fontId="71" fillId="0" borderId="0" xfId="1" applyFont="1" applyBorder="1" applyAlignment="1">
      <alignment horizontal="left" vertical="center"/>
    </xf>
    <xf numFmtId="0" fontId="71" fillId="0" borderId="24" xfId="1" applyFont="1" applyBorder="1" applyAlignment="1">
      <alignment horizontal="left" vertical="center"/>
    </xf>
    <xf numFmtId="0" fontId="71" fillId="0" borderId="45" xfId="1" applyFont="1" applyBorder="1" applyAlignment="1">
      <alignment horizontal="left" vertical="center"/>
    </xf>
    <xf numFmtId="0" fontId="71" fillId="0" borderId="45" xfId="1" applyFont="1" applyBorder="1"/>
    <xf numFmtId="0" fontId="71" fillId="0" borderId="25" xfId="1" applyFont="1" applyBorder="1"/>
    <xf numFmtId="0" fontId="71" fillId="0" borderId="34" xfId="1" applyFont="1" applyBorder="1" applyAlignment="1">
      <alignment horizontal="left" vertical="center"/>
    </xf>
    <xf numFmtId="0" fontId="71" fillId="0" borderId="0" xfId="1" applyFont="1" applyBorder="1"/>
    <xf numFmtId="0" fontId="71" fillId="0" borderId="35" xfId="1" applyFont="1" applyBorder="1"/>
    <xf numFmtId="0" fontId="71" fillId="0" borderId="0" xfId="1" applyFont="1" applyBorder="1" applyAlignment="1"/>
    <xf numFmtId="0" fontId="71" fillId="0" borderId="26" xfId="1" applyFont="1" applyBorder="1" applyAlignment="1">
      <alignment horizontal="justify" vertical="center"/>
    </xf>
    <xf numFmtId="0" fontId="71" fillId="0" borderId="7" xfId="1" applyFont="1" applyBorder="1" applyAlignment="1">
      <alignment vertical="center"/>
    </xf>
    <xf numFmtId="0" fontId="71" fillId="0" borderId="7" xfId="1" applyFont="1" applyBorder="1"/>
    <xf numFmtId="0" fontId="71" fillId="0" borderId="27" xfId="1" applyFont="1" applyBorder="1"/>
    <xf numFmtId="0" fontId="71" fillId="0" borderId="26" xfId="1" applyFont="1" applyBorder="1" applyAlignment="1">
      <alignment horizontal="left" vertical="center"/>
    </xf>
    <xf numFmtId="0" fontId="8" fillId="0" borderId="19" xfId="0" applyFont="1" applyFill="1" applyBorder="1" applyAlignment="1">
      <alignment horizontal="right"/>
    </xf>
    <xf numFmtId="44" fontId="8" fillId="0" borderId="30" xfId="11" applyFont="1" applyFill="1" applyBorder="1"/>
    <xf numFmtId="44" fontId="8" fillId="0" borderId="0" xfId="11" applyFont="1"/>
    <xf numFmtId="10" fontId="26" fillId="14" borderId="30" xfId="0" applyNumberFormat="1" applyFont="1" applyFill="1" applyBorder="1" applyAlignment="1">
      <alignment horizontal="center"/>
    </xf>
    <xf numFmtId="44" fontId="8" fillId="0" borderId="0" xfId="0" applyNumberFormat="1" applyFont="1"/>
    <xf numFmtId="44" fontId="8" fillId="0" borderId="0" xfId="0" applyNumberFormat="1" applyFont="1" applyFill="1" applyBorder="1"/>
    <xf numFmtId="0" fontId="8" fillId="0" borderId="58" xfId="0" applyFont="1" applyFill="1" applyBorder="1" applyAlignment="1">
      <alignment horizontal="right" wrapText="1"/>
    </xf>
    <xf numFmtId="10" fontId="26" fillId="14" borderId="59" xfId="0" applyNumberFormat="1" applyFont="1" applyFill="1" applyBorder="1" applyAlignment="1">
      <alignment horizontal="center"/>
    </xf>
    <xf numFmtId="44" fontId="8" fillId="0" borderId="0" xfId="11" applyFont="1" applyFill="1" applyBorder="1" applyAlignment="1">
      <alignment horizontal="left"/>
    </xf>
    <xf numFmtId="0" fontId="8" fillId="0" borderId="0" xfId="0" applyFont="1" applyFill="1" applyBorder="1"/>
    <xf numFmtId="0" fontId="8" fillId="0" borderId="19" xfId="0" applyFont="1" applyFill="1" applyBorder="1" applyAlignment="1">
      <alignment horizontal="right" wrapText="1"/>
    </xf>
    <xf numFmtId="44" fontId="8" fillId="0" borderId="31" xfId="11" applyFont="1" applyFill="1" applyBorder="1" applyAlignment="1">
      <alignment horizontal="center"/>
    </xf>
    <xf numFmtId="0" fontId="8" fillId="0" borderId="37" xfId="0" applyFont="1" applyFill="1" applyBorder="1" applyAlignment="1">
      <alignment horizontal="right"/>
    </xf>
    <xf numFmtId="44" fontId="8" fillId="0" borderId="44" xfId="11" applyFont="1" applyFill="1" applyBorder="1" applyAlignment="1">
      <alignment horizontal="center"/>
    </xf>
    <xf numFmtId="0" fontId="8" fillId="0" borderId="20" xfId="0" applyFont="1" applyBorder="1" applyAlignment="1">
      <alignment horizontal="right"/>
    </xf>
    <xf numFmtId="9" fontId="8" fillId="14" borderId="47" xfId="13" applyFont="1" applyFill="1" applyBorder="1" applyAlignment="1">
      <alignment horizontal="center"/>
    </xf>
    <xf numFmtId="0" fontId="8" fillId="0" borderId="0" xfId="0" applyFont="1" applyAlignment="1">
      <alignment horizontal="right"/>
    </xf>
    <xf numFmtId="9" fontId="8" fillId="0" borderId="0" xfId="13" applyFont="1"/>
    <xf numFmtId="0" fontId="52" fillId="0" borderId="0" xfId="0" applyFont="1"/>
    <xf numFmtId="0" fontId="8" fillId="0" borderId="0" xfId="0" applyFont="1" applyAlignment="1">
      <alignment wrapText="1"/>
    </xf>
    <xf numFmtId="0" fontId="56" fillId="4" borderId="0" xfId="0" applyFont="1" applyFill="1" applyAlignment="1">
      <alignment horizontal="left" vertical="center"/>
    </xf>
    <xf numFmtId="0" fontId="41" fillId="0" borderId="0" xfId="0" applyFont="1"/>
    <xf numFmtId="0" fontId="59" fillId="0" borderId="9" xfId="0" applyFont="1" applyFill="1" applyBorder="1" applyAlignment="1">
      <alignment horizontal="center" vertical="center"/>
    </xf>
    <xf numFmtId="0" fontId="22" fillId="0" borderId="0" xfId="0" applyFont="1" applyFill="1" applyBorder="1" applyAlignment="1">
      <alignment horizontal="center" vertical="center"/>
    </xf>
    <xf numFmtId="0" fontId="22" fillId="0" borderId="29" xfId="0" applyFont="1" applyFill="1" applyBorder="1" applyAlignment="1">
      <alignment horizontal="center" vertical="center"/>
    </xf>
    <xf numFmtId="0" fontId="22" fillId="0" borderId="9" xfId="0" applyFont="1" applyFill="1" applyBorder="1" applyAlignment="1">
      <alignment horizontal="center" vertical="center"/>
    </xf>
    <xf numFmtId="10" fontId="59" fillId="0" borderId="9" xfId="13" applyNumberFormat="1" applyFont="1" applyFill="1" applyBorder="1" applyAlignment="1">
      <alignment horizontal="center" vertical="center"/>
    </xf>
    <xf numFmtId="0" fontId="22" fillId="0" borderId="23" xfId="0" applyFont="1" applyFill="1" applyBorder="1" applyAlignment="1">
      <alignment horizontal="center" vertical="center"/>
    </xf>
    <xf numFmtId="0" fontId="26" fillId="0" borderId="0" xfId="0" applyFont="1"/>
    <xf numFmtId="0" fontId="22" fillId="0" borderId="0" xfId="0" applyFont="1"/>
    <xf numFmtId="0" fontId="48" fillId="0" borderId="0" xfId="0" applyFont="1"/>
    <xf numFmtId="0" fontId="75" fillId="0" borderId="0" xfId="0" applyFont="1" applyBorder="1" applyAlignment="1">
      <alignment horizontal="center" vertical="center" wrapText="1"/>
    </xf>
    <xf numFmtId="0" fontId="76" fillId="0" borderId="0" xfId="0" applyFont="1" applyFill="1" applyBorder="1" applyAlignment="1">
      <alignment horizontal="center" vertical="center"/>
    </xf>
    <xf numFmtId="0" fontId="18" fillId="4" borderId="20"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22" fillId="25" borderId="6" xfId="0" applyFont="1" applyFill="1" applyBorder="1" applyAlignment="1">
      <alignment horizontal="center" vertical="center" wrapText="1"/>
    </xf>
    <xf numFmtId="0" fontId="18" fillId="25" borderId="47" xfId="0" applyFont="1" applyFill="1" applyBorder="1" applyAlignment="1">
      <alignment horizontal="center" vertical="center" wrapText="1"/>
    </xf>
    <xf numFmtId="0" fontId="18" fillId="26" borderId="55" xfId="0" applyFont="1" applyFill="1" applyBorder="1" applyAlignment="1">
      <alignment horizontal="center" vertical="center" wrapText="1"/>
    </xf>
    <xf numFmtId="0" fontId="18" fillId="5" borderId="20" xfId="0" applyFont="1" applyFill="1" applyBorder="1" applyAlignment="1">
      <alignment horizontal="center" vertical="center" wrapText="1"/>
    </xf>
    <xf numFmtId="0" fontId="18" fillId="26" borderId="61"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22" fillId="26" borderId="6" xfId="0" applyFont="1" applyFill="1" applyBorder="1" applyAlignment="1">
      <alignment horizontal="center" vertical="center" wrapText="1"/>
    </xf>
    <xf numFmtId="0" fontId="22" fillId="8" borderId="6" xfId="0" applyFont="1" applyFill="1" applyBorder="1" applyAlignment="1">
      <alignment horizontal="center" vertical="center" wrapText="1"/>
    </xf>
    <xf numFmtId="0" fontId="22" fillId="26" borderId="46" xfId="0" applyFont="1" applyFill="1" applyBorder="1" applyAlignment="1">
      <alignment horizontal="center" vertical="center" wrapText="1"/>
    </xf>
    <xf numFmtId="0" fontId="18" fillId="8" borderId="47" xfId="0" applyFont="1" applyFill="1" applyBorder="1" applyAlignment="1">
      <alignment horizontal="center" vertical="center" wrapText="1"/>
    </xf>
    <xf numFmtId="0" fontId="22" fillId="26" borderId="8" xfId="0" applyFont="1" applyFill="1" applyBorder="1" applyAlignment="1">
      <alignment horizontal="center" vertical="center" wrapText="1"/>
    </xf>
    <xf numFmtId="0" fontId="22" fillId="9" borderId="45" xfId="0" applyFont="1" applyFill="1" applyBorder="1" applyAlignment="1">
      <alignment horizontal="center" vertical="center"/>
    </xf>
    <xf numFmtId="0" fontId="22" fillId="9" borderId="29" xfId="0" applyFont="1" applyFill="1" applyBorder="1" applyAlignment="1">
      <alignment horizontal="center" vertical="center" wrapText="1"/>
    </xf>
    <xf numFmtId="0" fontId="25" fillId="9" borderId="45" xfId="0" applyFont="1" applyFill="1" applyBorder="1" applyAlignment="1">
      <alignment horizontal="center" vertical="center" wrapText="1"/>
    </xf>
    <xf numFmtId="9" fontId="25" fillId="9" borderId="29" xfId="0" applyNumberFormat="1" applyFont="1" applyFill="1" applyBorder="1" applyAlignment="1">
      <alignment horizontal="center" vertical="center" wrapText="1"/>
    </xf>
    <xf numFmtId="0" fontId="78" fillId="24" borderId="25" xfId="0" applyFont="1" applyFill="1" applyBorder="1" applyAlignment="1">
      <alignment horizontal="center" wrapText="1"/>
    </xf>
    <xf numFmtId="0" fontId="30" fillId="26" borderId="50" xfId="0" applyFont="1" applyFill="1" applyBorder="1"/>
    <xf numFmtId="0" fontId="8" fillId="26" borderId="15" xfId="0" applyFont="1" applyFill="1" applyBorder="1" applyAlignment="1">
      <alignment horizontal="center" vertical="center" wrapText="1"/>
    </xf>
    <xf numFmtId="0" fontId="22" fillId="26" borderId="10" xfId="0" applyFont="1" applyFill="1" applyBorder="1" applyAlignment="1">
      <alignment horizontal="center" vertical="center" wrapText="1"/>
    </xf>
    <xf numFmtId="0" fontId="35" fillId="26" borderId="11" xfId="0" applyFont="1" applyFill="1" applyBorder="1" applyAlignment="1">
      <alignment horizontal="center" vertical="center" wrapText="1"/>
    </xf>
    <xf numFmtId="0" fontId="22" fillId="26" borderId="11" xfId="0" applyFont="1" applyFill="1" applyBorder="1" applyAlignment="1">
      <alignment horizontal="center" vertical="center" wrapText="1"/>
    </xf>
    <xf numFmtId="0" fontId="22" fillId="26" borderId="39" xfId="0" applyFont="1" applyFill="1" applyBorder="1" applyAlignment="1">
      <alignment horizontal="center" vertical="center" wrapText="1"/>
    </xf>
    <xf numFmtId="0" fontId="22" fillId="26" borderId="13" xfId="0" applyFont="1" applyFill="1" applyBorder="1" applyAlignment="1">
      <alignment horizontal="center" vertical="center" wrapText="1"/>
    </xf>
    <xf numFmtId="0" fontId="22" fillId="26" borderId="13" xfId="0" applyFont="1" applyFill="1" applyBorder="1" applyAlignment="1">
      <alignment horizontal="center" vertical="center"/>
    </xf>
    <xf numFmtId="0" fontId="25" fillId="26" borderId="15" xfId="0" applyFont="1" applyFill="1" applyBorder="1" applyAlignment="1">
      <alignment horizontal="left" vertical="center" wrapText="1"/>
    </xf>
    <xf numFmtId="0" fontId="25" fillId="26" borderId="13" xfId="0" applyFont="1" applyFill="1" applyBorder="1" applyAlignment="1">
      <alignment horizontal="center" vertical="center" wrapText="1"/>
    </xf>
    <xf numFmtId="9" fontId="25" fillId="26" borderId="15" xfId="0" applyNumberFormat="1" applyFont="1" applyFill="1" applyBorder="1" applyAlignment="1">
      <alignment horizontal="center" vertical="center" wrapText="1"/>
    </xf>
    <xf numFmtId="0" fontId="28" fillId="26" borderId="28" xfId="0" applyFont="1" applyFill="1" applyBorder="1" applyAlignment="1">
      <alignment horizontal="center" wrapText="1"/>
    </xf>
    <xf numFmtId="0" fontId="22" fillId="0" borderId="16" xfId="0" applyFont="1" applyFill="1" applyBorder="1" applyAlignment="1">
      <alignment horizontal="left" vertical="center" wrapText="1"/>
    </xf>
    <xf numFmtId="4" fontId="18" fillId="0" borderId="12" xfId="0" applyNumberFormat="1" applyFont="1" applyBorder="1" applyAlignment="1">
      <alignment horizontal="right" vertical="center"/>
    </xf>
    <xf numFmtId="4" fontId="48" fillId="0" borderId="1" xfId="0" applyNumberFormat="1" applyFont="1" applyFill="1" applyBorder="1" applyAlignment="1">
      <alignment horizontal="right" vertical="center"/>
    </xf>
    <xf numFmtId="4" fontId="18" fillId="0" borderId="1" xfId="0" applyNumberFormat="1" applyFont="1" applyFill="1" applyBorder="1" applyAlignment="1">
      <alignment horizontal="right" vertical="center"/>
    </xf>
    <xf numFmtId="4" fontId="18" fillId="0" borderId="30" xfId="0" applyNumberFormat="1" applyFont="1" applyFill="1" applyBorder="1" applyAlignment="1">
      <alignment horizontal="right" vertical="center"/>
    </xf>
    <xf numFmtId="4" fontId="18" fillId="26" borderId="4" xfId="0" applyNumberFormat="1" applyFont="1" applyFill="1" applyBorder="1" applyAlignment="1">
      <alignment horizontal="right" vertical="center"/>
    </xf>
    <xf numFmtId="4" fontId="18" fillId="0" borderId="12" xfId="0" applyNumberFormat="1" applyFont="1" applyFill="1" applyBorder="1" applyAlignment="1">
      <alignment horizontal="right" vertical="center"/>
    </xf>
    <xf numFmtId="4" fontId="18" fillId="26" borderId="5" xfId="0" applyNumberFormat="1" applyFont="1" applyFill="1" applyBorder="1" applyAlignment="1">
      <alignment horizontal="center" vertical="center"/>
    </xf>
    <xf numFmtId="4" fontId="57" fillId="0" borderId="1" xfId="0" applyNumberFormat="1" applyFont="1" applyFill="1" applyBorder="1" applyAlignment="1">
      <alignment horizontal="right" vertical="center"/>
    </xf>
    <xf numFmtId="4" fontId="57" fillId="26" borderId="1" xfId="0" applyNumberFormat="1" applyFont="1" applyFill="1" applyBorder="1" applyAlignment="1">
      <alignment horizontal="center" vertical="center"/>
    </xf>
    <xf numFmtId="4" fontId="18" fillId="26" borderId="3" xfId="0" applyNumberFormat="1" applyFont="1" applyFill="1" applyBorder="1" applyAlignment="1">
      <alignment horizontal="center" vertical="center"/>
    </xf>
    <xf numFmtId="165" fontId="8" fillId="26" borderId="4" xfId="0" applyNumberFormat="1" applyFont="1" applyFill="1" applyBorder="1" applyAlignment="1">
      <alignment horizontal="center" vertical="center"/>
    </xf>
    <xf numFmtId="4" fontId="18" fillId="0" borderId="22" xfId="0" applyNumberFormat="1" applyFont="1" applyBorder="1" applyAlignment="1">
      <alignment vertical="center"/>
    </xf>
    <xf numFmtId="0" fontId="22" fillId="26" borderId="57" xfId="0" applyFont="1" applyFill="1" applyBorder="1" applyAlignment="1">
      <alignment horizontal="center" vertical="center" wrapText="1"/>
    </xf>
    <xf numFmtId="0" fontId="22" fillId="26" borderId="17" xfId="0" applyFont="1" applyFill="1" applyBorder="1" applyAlignment="1">
      <alignment horizontal="center" vertical="center" wrapText="1"/>
    </xf>
    <xf numFmtId="165" fontId="22" fillId="26" borderId="41" xfId="0" applyNumberFormat="1" applyFont="1" applyFill="1" applyBorder="1" applyAlignment="1">
      <alignment horizontal="center" vertical="center"/>
    </xf>
    <xf numFmtId="174" fontId="35" fillId="26" borderId="51" xfId="0" applyNumberFormat="1" applyFont="1" applyFill="1" applyBorder="1" applyAlignment="1">
      <alignment horizontal="center" vertical="center"/>
    </xf>
    <xf numFmtId="165" fontId="22" fillId="26" borderId="51" xfId="0" applyNumberFormat="1" applyFont="1" applyFill="1" applyBorder="1" applyAlignment="1">
      <alignment horizontal="center" vertical="center"/>
    </xf>
    <xf numFmtId="165" fontId="22" fillId="26" borderId="42" xfId="0" applyNumberFormat="1" applyFont="1" applyFill="1" applyBorder="1" applyAlignment="1">
      <alignment horizontal="center" vertical="center"/>
    </xf>
    <xf numFmtId="165" fontId="22" fillId="26" borderId="69" xfId="0" applyNumberFormat="1" applyFont="1" applyFill="1" applyBorder="1" applyAlignment="1">
      <alignment horizontal="center" vertical="center"/>
    </xf>
    <xf numFmtId="175" fontId="22" fillId="26" borderId="5" xfId="0" applyNumberFormat="1" applyFont="1" applyFill="1" applyBorder="1" applyAlignment="1">
      <alignment horizontal="center" vertical="center"/>
    </xf>
    <xf numFmtId="165" fontId="25" fillId="26" borderId="51" xfId="0" applyNumberFormat="1" applyFont="1" applyFill="1" applyBorder="1" applyAlignment="1">
      <alignment horizontal="center" vertical="center"/>
    </xf>
    <xf numFmtId="175" fontId="25" fillId="26" borderId="1" xfId="0" applyNumberFormat="1" applyFont="1" applyFill="1" applyBorder="1" applyAlignment="1">
      <alignment horizontal="center" vertical="center"/>
    </xf>
    <xf numFmtId="175" fontId="22" fillId="26" borderId="3" xfId="0" applyNumberFormat="1" applyFont="1" applyFill="1" applyBorder="1" applyAlignment="1">
      <alignment horizontal="center" vertical="center"/>
    </xf>
    <xf numFmtId="10" fontId="22" fillId="26" borderId="69" xfId="13" applyNumberFormat="1" applyFont="1" applyFill="1" applyBorder="1" applyAlignment="1">
      <alignment horizontal="center" vertical="center" wrapText="1"/>
    </xf>
    <xf numFmtId="165" fontId="35" fillId="26" borderId="17" xfId="0" applyNumberFormat="1" applyFont="1" applyFill="1" applyBorder="1" applyAlignment="1">
      <alignment horizontal="center" vertical="center" wrapText="1"/>
    </xf>
    <xf numFmtId="165" fontId="22" fillId="26" borderId="69" xfId="0" applyNumberFormat="1" applyFont="1" applyFill="1" applyBorder="1" applyAlignment="1">
      <alignment horizontal="center" vertical="center" wrapText="1"/>
    </xf>
    <xf numFmtId="165" fontId="22" fillId="26" borderId="49" xfId="0" applyNumberFormat="1" applyFont="1" applyFill="1" applyBorder="1" applyAlignment="1">
      <alignment vertical="center"/>
    </xf>
    <xf numFmtId="0" fontId="22" fillId="0" borderId="0" xfId="0" applyFont="1" applyBorder="1" applyAlignment="1">
      <alignment horizontal="center" vertical="center"/>
    </xf>
    <xf numFmtId="0" fontId="22" fillId="26" borderId="0" xfId="0" applyFont="1" applyFill="1" applyBorder="1" applyAlignment="1">
      <alignment horizontal="center" vertical="center"/>
    </xf>
    <xf numFmtId="175" fontId="18" fillId="26" borderId="32" xfId="0" applyNumberFormat="1" applyFont="1" applyFill="1" applyBorder="1" applyAlignment="1">
      <alignment horizontal="center" vertical="center"/>
    </xf>
    <xf numFmtId="165" fontId="8" fillId="26" borderId="40" xfId="0" applyNumberFormat="1" applyFont="1" applyFill="1" applyBorder="1" applyAlignment="1">
      <alignment horizontal="center" vertical="center"/>
    </xf>
    <xf numFmtId="10" fontId="22" fillId="0" borderId="0" xfId="13" applyNumberFormat="1" applyFont="1" applyBorder="1" applyAlignment="1">
      <alignment horizontal="left" vertical="center" wrapText="1"/>
    </xf>
    <xf numFmtId="165" fontId="22" fillId="0" borderId="0" xfId="0" applyNumberFormat="1" applyFont="1" applyFill="1" applyBorder="1" applyAlignment="1">
      <alignment horizontal="center" vertical="center" wrapText="1"/>
    </xf>
    <xf numFmtId="0" fontId="18" fillId="24" borderId="9" xfId="0" applyFont="1" applyFill="1" applyBorder="1" applyAlignment="1">
      <alignment horizontal="center" vertical="center" wrapText="1"/>
    </xf>
    <xf numFmtId="0" fontId="57" fillId="0" borderId="1" xfId="0" applyFont="1" applyFill="1" applyBorder="1" applyAlignment="1">
      <alignment horizontal="center" vertical="center" wrapText="1"/>
    </xf>
    <xf numFmtId="4" fontId="57" fillId="0" borderId="1" xfId="0" applyNumberFormat="1" applyFont="1" applyFill="1" applyBorder="1" applyAlignment="1">
      <alignment horizontal="center" vertical="center" wrapText="1"/>
    </xf>
    <xf numFmtId="4" fontId="18" fillId="0" borderId="1" xfId="0" applyNumberFormat="1" applyFont="1" applyFill="1" applyBorder="1" applyAlignment="1">
      <alignment horizontal="center" vertical="center"/>
    </xf>
    <xf numFmtId="4" fontId="18" fillId="26" borderId="1" xfId="0" applyNumberFormat="1" applyFont="1" applyFill="1" applyBorder="1" applyAlignment="1">
      <alignment horizontal="center" vertical="center"/>
    </xf>
    <xf numFmtId="4" fontId="57" fillId="26" borderId="1" xfId="0" applyNumberFormat="1" applyFont="1" applyFill="1" applyBorder="1" applyAlignment="1">
      <alignment horizontal="center" vertical="center" wrapText="1"/>
    </xf>
    <xf numFmtId="4" fontId="18" fillId="0" borderId="3" xfId="0" applyNumberFormat="1" applyFont="1" applyFill="1" applyBorder="1" applyAlignment="1">
      <alignment horizontal="center" vertical="center"/>
    </xf>
    <xf numFmtId="4" fontId="18" fillId="26" borderId="9" xfId="0" applyNumberFormat="1" applyFont="1" applyFill="1" applyBorder="1" applyAlignment="1">
      <alignment horizontal="center" vertical="center"/>
    </xf>
    <xf numFmtId="4" fontId="18" fillId="0" borderId="4" xfId="0" applyNumberFormat="1" applyFont="1" applyFill="1" applyBorder="1" applyAlignment="1">
      <alignment horizontal="center" vertical="center"/>
    </xf>
    <xf numFmtId="4" fontId="60" fillId="26" borderId="9" xfId="0" applyNumberFormat="1" applyFont="1" applyFill="1" applyBorder="1" applyAlignment="1">
      <alignment horizontal="center" vertical="center"/>
    </xf>
    <xf numFmtId="4" fontId="26" fillId="0" borderId="0" xfId="13" applyNumberFormat="1" applyFont="1" applyFill="1" applyBorder="1" applyAlignment="1">
      <alignment horizontal="center" vertical="center"/>
    </xf>
    <xf numFmtId="4" fontId="26" fillId="0" borderId="0" xfId="0" applyNumberFormat="1" applyFont="1"/>
    <xf numFmtId="4" fontId="22" fillId="0" borderId="0" xfId="0" applyNumberFormat="1" applyFont="1" applyAlignment="1">
      <alignment horizontal="center"/>
    </xf>
    <xf numFmtId="4" fontId="8" fillId="0" borderId="0" xfId="11" applyNumberFormat="1" applyFont="1"/>
    <xf numFmtId="4" fontId="18" fillId="24" borderId="9" xfId="0" applyNumberFormat="1" applyFont="1" applyFill="1" applyBorder="1"/>
    <xf numFmtId="0" fontId="23" fillId="21" borderId="0" xfId="0" applyFont="1" applyFill="1" applyAlignment="1">
      <alignment wrapText="1"/>
    </xf>
    <xf numFmtId="0" fontId="23" fillId="4" borderId="0" xfId="0" applyFont="1" applyFill="1" applyAlignment="1">
      <alignment wrapText="1"/>
    </xf>
    <xf numFmtId="0" fontId="8" fillId="4" borderId="0" xfId="0" applyFont="1" applyFill="1" applyAlignment="1">
      <alignment vertical="center"/>
    </xf>
    <xf numFmtId="176" fontId="8" fillId="0" borderId="1" xfId="0" applyNumberFormat="1" applyFont="1" applyFill="1" applyBorder="1" applyAlignment="1">
      <alignment vertical="center"/>
    </xf>
    <xf numFmtId="0" fontId="32" fillId="0" borderId="51" xfId="0" applyFont="1" applyFill="1" applyBorder="1" applyAlignment="1">
      <alignment horizontal="center" vertical="center"/>
    </xf>
    <xf numFmtId="0" fontId="8" fillId="0" borderId="42" xfId="0" applyFont="1" applyFill="1" applyBorder="1" applyAlignment="1">
      <alignment horizontal="center" vertical="center"/>
    </xf>
    <xf numFmtId="44" fontId="8" fillId="0" borderId="31" xfId="11" applyFont="1" applyFill="1" applyBorder="1" applyAlignment="1">
      <alignment vertical="center"/>
    </xf>
    <xf numFmtId="44" fontId="8" fillId="0" borderId="30" xfId="11" applyFont="1" applyFill="1" applyBorder="1" applyAlignment="1">
      <alignment vertical="center"/>
    </xf>
    <xf numFmtId="44" fontId="8" fillId="0" borderId="42" xfId="11" applyFont="1" applyFill="1" applyBorder="1" applyAlignment="1">
      <alignment vertical="center"/>
    </xf>
    <xf numFmtId="0" fontId="8" fillId="0" borderId="19" xfId="0" applyFont="1" applyFill="1" applyBorder="1" applyAlignment="1">
      <alignment horizontal="left" vertical="center"/>
    </xf>
    <xf numFmtId="0" fontId="8" fillId="0" borderId="12" xfId="0" applyFont="1" applyFill="1" applyBorder="1" applyAlignment="1">
      <alignment horizontal="left" vertical="center"/>
    </xf>
    <xf numFmtId="0" fontId="8" fillId="0" borderId="12" xfId="0" applyFont="1" applyFill="1" applyBorder="1" applyAlignment="1">
      <alignment horizontal="left" vertical="center" wrapText="1"/>
    </xf>
    <xf numFmtId="0" fontId="26" fillId="0" borderId="12" xfId="0" applyFont="1" applyFill="1" applyBorder="1" applyAlignment="1">
      <alignment horizontal="left" vertical="center"/>
    </xf>
    <xf numFmtId="167" fontId="79" fillId="0" borderId="0" xfId="0" applyNumberFormat="1" applyFont="1" applyFill="1" applyBorder="1" applyAlignment="1">
      <alignment vertical="center"/>
    </xf>
    <xf numFmtId="0" fontId="8" fillId="0" borderId="41" xfId="0" applyFont="1" applyFill="1" applyBorder="1" applyAlignment="1">
      <alignment horizontal="left" vertical="center"/>
    </xf>
    <xf numFmtId="44" fontId="8" fillId="0" borderId="1" xfId="11" applyNumberFormat="1" applyFont="1" applyFill="1" applyBorder="1" applyAlignment="1">
      <alignment vertical="center"/>
    </xf>
    <xf numFmtId="44" fontId="22" fillId="0" borderId="1" xfId="0" applyNumberFormat="1" applyFont="1" applyFill="1" applyBorder="1" applyAlignment="1">
      <alignment vertical="center"/>
    </xf>
    <xf numFmtId="44" fontId="26" fillId="0" borderId="1" xfId="11" applyNumberFormat="1" applyFont="1" applyFill="1" applyBorder="1" applyAlignment="1">
      <alignment horizontal="right" vertical="center"/>
    </xf>
    <xf numFmtId="0" fontId="8" fillId="0" borderId="0" xfId="0" applyFont="1" applyAlignment="1">
      <alignment horizontal="right" vertical="center"/>
    </xf>
    <xf numFmtId="0" fontId="8" fillId="0" borderId="0" xfId="0" applyFont="1" applyAlignment="1">
      <alignment vertical="center"/>
    </xf>
    <xf numFmtId="0" fontId="13" fillId="7" borderId="54" xfId="0" applyFont="1" applyFill="1" applyBorder="1" applyAlignment="1">
      <alignment horizontal="center" vertical="center" wrapText="1"/>
    </xf>
    <xf numFmtId="2" fontId="13" fillId="7" borderId="1" xfId="0" applyNumberFormat="1" applyFont="1" applyFill="1" applyBorder="1" applyAlignment="1">
      <alignment horizontal="center" vertical="center" wrapText="1"/>
    </xf>
    <xf numFmtId="4" fontId="6" fillId="6"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22" fillId="0" borderId="1" xfId="0" applyFont="1" applyFill="1" applyBorder="1" applyAlignment="1">
      <alignment horizontal="center" vertical="center"/>
    </xf>
    <xf numFmtId="0" fontId="8" fillId="0" borderId="0" xfId="0" applyFont="1" applyFill="1" applyAlignment="1">
      <alignment horizontal="center" vertical="center"/>
    </xf>
    <xf numFmtId="0" fontId="74" fillId="0" borderId="0" xfId="0" applyFont="1" applyBorder="1" applyAlignment="1">
      <alignment horizontal="center" vertical="center" wrapText="1"/>
    </xf>
    <xf numFmtId="0" fontId="16" fillId="0" borderId="0" xfId="1" applyFont="1" applyBorder="1" applyAlignment="1">
      <alignment vertical="top" wrapText="1"/>
    </xf>
    <xf numFmtId="0" fontId="83" fillId="0" borderId="0" xfId="1" applyFont="1" applyBorder="1" applyAlignment="1">
      <alignment horizontal="center" vertical="center" wrapText="1"/>
    </xf>
    <xf numFmtId="0" fontId="83" fillId="0" borderId="0" xfId="1" applyFont="1" applyBorder="1" applyAlignment="1">
      <alignment vertical="center" wrapText="1"/>
    </xf>
    <xf numFmtId="0" fontId="84" fillId="0" borderId="0" xfId="1" applyFont="1" applyBorder="1" applyAlignment="1">
      <alignment vertical="center" wrapText="1"/>
    </xf>
    <xf numFmtId="0" fontId="39" fillId="0" borderId="0" xfId="1" applyFont="1" applyFill="1" applyBorder="1" applyAlignment="1">
      <alignment vertical="center"/>
    </xf>
    <xf numFmtId="0" fontId="16" fillId="0" borderId="0" xfId="1" applyFont="1" applyBorder="1" applyAlignment="1">
      <alignment vertical="center"/>
    </xf>
    <xf numFmtId="0" fontId="48" fillId="0" borderId="0" xfId="0" applyFont="1" applyFill="1" applyAlignment="1">
      <alignment vertical="center"/>
    </xf>
    <xf numFmtId="0" fontId="84" fillId="0" borderId="0" xfId="1" applyFont="1" applyBorder="1" applyAlignment="1">
      <alignment vertical="top" wrapText="1"/>
    </xf>
    <xf numFmtId="0" fontId="11" fillId="0" borderId="0" xfId="0" applyFont="1" applyFill="1" applyBorder="1" applyAlignment="1">
      <alignment horizontal="right" vertical="center" wrapText="1"/>
    </xf>
    <xf numFmtId="0" fontId="8" fillId="0" borderId="0" xfId="0" applyFont="1" applyAlignment="1"/>
    <xf numFmtId="0" fontId="24" fillId="0" borderId="0" xfId="0" applyFont="1" applyAlignment="1">
      <alignment horizontal="right"/>
    </xf>
    <xf numFmtId="0" fontId="8" fillId="0" borderId="0" xfId="0" applyFont="1" applyAlignment="1">
      <alignment horizontal="left" wrapText="1"/>
    </xf>
    <xf numFmtId="0" fontId="8" fillId="0" borderId="0" xfId="0" applyFont="1" applyAlignment="1">
      <alignment horizontal="left"/>
    </xf>
    <xf numFmtId="0" fontId="49" fillId="0" borderId="0" xfId="0" applyFont="1" applyAlignment="1">
      <alignment horizontal="right" vertical="top"/>
    </xf>
    <xf numFmtId="0" fontId="42" fillId="0" borderId="0" xfId="0" applyFont="1" applyFill="1" applyAlignment="1"/>
    <xf numFmtId="0" fontId="13" fillId="9" borderId="9" xfId="0" applyFont="1" applyFill="1" applyBorder="1" applyAlignment="1">
      <alignment horizontal="center" vertical="center" wrapText="1"/>
    </xf>
    <xf numFmtId="0" fontId="13" fillId="0" borderId="54" xfId="0" applyFont="1" applyFill="1" applyBorder="1" applyAlignment="1">
      <alignment vertical="center" wrapText="1"/>
    </xf>
    <xf numFmtId="0" fontId="16" fillId="0" borderId="0" xfId="1" applyFont="1" applyBorder="1" applyAlignment="1">
      <alignment horizontal="center" vertical="top" wrapText="1"/>
    </xf>
    <xf numFmtId="0" fontId="39" fillId="0" borderId="0" xfId="1" applyFont="1" applyBorder="1" applyAlignment="1">
      <alignment horizontal="center" vertical="center" wrapText="1"/>
    </xf>
    <xf numFmtId="0" fontId="64" fillId="14" borderId="29" xfId="1" applyFont="1" applyFill="1" applyBorder="1" applyAlignment="1">
      <alignment vertical="center" wrapText="1"/>
    </xf>
    <xf numFmtId="0" fontId="6" fillId="0" borderId="23" xfId="0" applyFont="1" applyFill="1" applyBorder="1" applyAlignment="1">
      <alignment vertical="center" wrapText="1"/>
    </xf>
    <xf numFmtId="0" fontId="6" fillId="0" borderId="27" xfId="0" applyFont="1" applyFill="1" applyBorder="1" applyAlignment="1">
      <alignment vertical="center" wrapText="1"/>
    </xf>
    <xf numFmtId="165" fontId="47" fillId="14" borderId="9" xfId="11" applyNumberFormat="1" applyFont="1" applyFill="1" applyBorder="1" applyAlignment="1">
      <alignment horizontal="center" vertical="center" wrapText="1"/>
    </xf>
    <xf numFmtId="0" fontId="6" fillId="0" borderId="27" xfId="0" applyFont="1" applyFill="1" applyBorder="1" applyAlignment="1">
      <alignment vertical="center"/>
    </xf>
    <xf numFmtId="0" fontId="1" fillId="0" borderId="27" xfId="0" applyFont="1" applyFill="1" applyBorder="1" applyAlignment="1">
      <alignment vertical="center"/>
    </xf>
    <xf numFmtId="0" fontId="87" fillId="0" borderId="23" xfId="0" applyFont="1" applyFill="1" applyBorder="1" applyAlignment="1">
      <alignment horizontal="left" vertical="center" wrapText="1"/>
    </xf>
    <xf numFmtId="0" fontId="60" fillId="0" borderId="23" xfId="0" applyFont="1" applyFill="1" applyBorder="1" applyAlignment="1">
      <alignment horizontal="left" vertical="center" wrapText="1"/>
    </xf>
    <xf numFmtId="14" fontId="80" fillId="0" borderId="9" xfId="0" applyNumberFormat="1" applyFont="1" applyBorder="1" applyAlignment="1">
      <alignment horizontal="center" vertical="center"/>
    </xf>
    <xf numFmtId="44" fontId="8" fillId="0" borderId="1" xfId="11" applyNumberFormat="1" applyFont="1" applyFill="1" applyBorder="1" applyAlignment="1">
      <alignment horizontal="center" vertical="center"/>
    </xf>
    <xf numFmtId="166" fontId="26" fillId="14" borderId="1" xfId="0" applyNumberFormat="1" applyFont="1" applyFill="1" applyBorder="1" applyAlignment="1">
      <alignment vertical="center"/>
    </xf>
    <xf numFmtId="168" fontId="26" fillId="14" borderId="1" xfId="0" applyNumberFormat="1" applyFont="1" applyFill="1" applyBorder="1" applyAlignment="1">
      <alignment vertical="center"/>
    </xf>
    <xf numFmtId="0" fontId="8" fillId="14" borderId="1" xfId="12" applyNumberFormat="1" applyFont="1" applyFill="1" applyBorder="1" applyAlignment="1">
      <alignment vertical="center"/>
    </xf>
    <xf numFmtId="44" fontId="26" fillId="14" borderId="1" xfId="0" applyNumberFormat="1" applyFont="1" applyFill="1" applyBorder="1" applyAlignment="1">
      <alignment vertical="center"/>
    </xf>
    <xf numFmtId="9" fontId="27" fillId="14" borderId="1" xfId="0" applyNumberFormat="1" applyFont="1" applyFill="1" applyBorder="1" applyAlignment="1">
      <alignment horizontal="right" vertical="center"/>
    </xf>
    <xf numFmtId="44" fontId="22" fillId="14" borderId="1" xfId="11" applyFont="1" applyFill="1" applyBorder="1" applyAlignment="1">
      <alignment vertical="center"/>
    </xf>
    <xf numFmtId="0" fontId="8" fillId="0" borderId="1" xfId="0" applyFont="1" applyFill="1" applyBorder="1" applyAlignment="1">
      <alignment horizontal="right" vertical="center" wrapText="1"/>
    </xf>
    <xf numFmtId="0" fontId="78" fillId="0" borderId="1" xfId="0" applyFont="1" applyFill="1" applyBorder="1" applyAlignment="1">
      <alignment horizontal="left" vertical="center"/>
    </xf>
    <xf numFmtId="166" fontId="78" fillId="0" borderId="1" xfId="0" applyNumberFormat="1" applyFont="1" applyFill="1" applyBorder="1" applyAlignment="1">
      <alignment horizontal="left" vertical="center" wrapText="1"/>
    </xf>
    <xf numFmtId="172" fontId="26" fillId="22" borderId="54" xfId="12" applyNumberFormat="1" applyFont="1" applyFill="1" applyBorder="1" applyAlignment="1">
      <alignment horizontal="center" vertical="center"/>
    </xf>
    <xf numFmtId="172" fontId="26" fillId="23" borderId="1" xfId="12" applyNumberFormat="1" applyFont="1" applyFill="1" applyBorder="1" applyAlignment="1">
      <alignment horizontal="center" vertical="center"/>
    </xf>
    <xf numFmtId="0" fontId="8" fillId="6" borderId="0" xfId="0" applyFont="1" applyFill="1" applyAlignment="1">
      <alignment vertical="center"/>
    </xf>
    <xf numFmtId="0" fontId="8" fillId="34" borderId="12" xfId="0" applyFont="1" applyFill="1" applyBorder="1" applyAlignment="1">
      <alignment horizontal="left" vertical="center"/>
    </xf>
    <xf numFmtId="172" fontId="26" fillId="34" borderId="1" xfId="12" applyNumberFormat="1" applyFont="1" applyFill="1" applyBorder="1" applyAlignment="1">
      <alignment horizontal="center" vertical="center"/>
    </xf>
    <xf numFmtId="44" fontId="8" fillId="34" borderId="30" xfId="0" applyNumberFormat="1" applyFont="1" applyFill="1" applyBorder="1" applyAlignment="1">
      <alignment vertical="center"/>
    </xf>
    <xf numFmtId="9" fontId="8" fillId="4" borderId="1" xfId="13" applyFont="1" applyFill="1" applyBorder="1" applyAlignment="1">
      <alignment horizontal="center" vertical="center"/>
    </xf>
    <xf numFmtId="0" fontId="8" fillId="6" borderId="0" xfId="0" applyFont="1" applyFill="1" applyBorder="1" applyAlignment="1">
      <alignment vertical="center"/>
    </xf>
    <xf numFmtId="44" fontId="8" fillId="6" borderId="0" xfId="0" applyNumberFormat="1" applyFont="1" applyFill="1" applyAlignment="1">
      <alignment vertical="center"/>
    </xf>
    <xf numFmtId="44" fontId="22" fillId="0" borderId="1" xfId="11" applyNumberFormat="1" applyFont="1" applyFill="1" applyBorder="1" applyAlignment="1">
      <alignment vertical="center"/>
    </xf>
    <xf numFmtId="0" fontId="73" fillId="35" borderId="0" xfId="0" applyFont="1" applyFill="1" applyAlignment="1"/>
    <xf numFmtId="0" fontId="8" fillId="35" borderId="0" xfId="0" applyFont="1" applyFill="1"/>
    <xf numFmtId="0" fontId="40" fillId="35" borderId="0" xfId="0" applyNumberFormat="1" applyFont="1" applyFill="1" applyAlignment="1"/>
    <xf numFmtId="0" fontId="22" fillId="6" borderId="16" xfId="0" applyFont="1" applyFill="1" applyBorder="1" applyAlignment="1">
      <alignment horizontal="left" vertical="center" wrapText="1"/>
    </xf>
    <xf numFmtId="4" fontId="18" fillId="6" borderId="12" xfId="0" applyNumberFormat="1" applyFont="1" applyFill="1" applyBorder="1" applyAlignment="1">
      <alignment horizontal="right" vertical="center"/>
    </xf>
    <xf numFmtId="4" fontId="48" fillId="6" borderId="1" xfId="0" applyNumberFormat="1" applyFont="1" applyFill="1" applyBorder="1" applyAlignment="1">
      <alignment horizontal="right" vertical="center"/>
    </xf>
    <xf numFmtId="4" fontId="18" fillId="6" borderId="1" xfId="0" applyNumberFormat="1" applyFont="1" applyFill="1" applyBorder="1" applyAlignment="1">
      <alignment horizontal="right" vertical="center"/>
    </xf>
    <xf numFmtId="4" fontId="18" fillId="6" borderId="30" xfId="0" applyNumberFormat="1" applyFont="1" applyFill="1" applyBorder="1" applyAlignment="1">
      <alignment horizontal="right" vertical="center"/>
    </xf>
    <xf numFmtId="4" fontId="57" fillId="6" borderId="1" xfId="0" applyNumberFormat="1" applyFont="1" applyFill="1" applyBorder="1" applyAlignment="1">
      <alignment horizontal="right" vertical="center"/>
    </xf>
    <xf numFmtId="0" fontId="22" fillId="0" borderId="34" xfId="0" applyFont="1" applyBorder="1" applyAlignment="1">
      <alignment horizontal="center" vertical="center" wrapText="1"/>
    </xf>
    <xf numFmtId="165" fontId="18" fillId="0" borderId="34" xfId="0" applyNumberFormat="1" applyFont="1" applyFill="1" applyBorder="1" applyAlignment="1">
      <alignment horizontal="center" vertical="center" wrapText="1"/>
    </xf>
    <xf numFmtId="4" fontId="18" fillId="0" borderId="1" xfId="0" applyNumberFormat="1" applyFont="1" applyFill="1" applyBorder="1" applyAlignment="1">
      <alignment horizontal="center" vertical="center" wrapText="1"/>
    </xf>
    <xf numFmtId="10" fontId="18" fillId="0" borderId="1" xfId="11" applyNumberFormat="1" applyFont="1" applyBorder="1" applyAlignment="1">
      <alignment horizontal="center" vertical="center"/>
    </xf>
    <xf numFmtId="0" fontId="76" fillId="35" borderId="0" xfId="0" applyNumberFormat="1" applyFont="1" applyFill="1" applyAlignment="1"/>
    <xf numFmtId="4" fontId="59" fillId="36" borderId="1" xfId="0" applyNumberFormat="1" applyFont="1" applyFill="1" applyBorder="1" applyAlignment="1">
      <alignment horizontal="right" vertical="center"/>
    </xf>
    <xf numFmtId="0" fontId="64" fillId="16" borderId="9" xfId="1" applyFont="1" applyFill="1" applyBorder="1" applyAlignment="1">
      <alignment horizontal="left" vertical="center" wrapText="1"/>
    </xf>
    <xf numFmtId="0" fontId="6" fillId="0" borderId="1" xfId="0" applyFont="1" applyFill="1" applyBorder="1" applyAlignment="1">
      <alignment vertical="center" wrapText="1"/>
    </xf>
    <xf numFmtId="0" fontId="21" fillId="0" borderId="9" xfId="0" applyFont="1" applyFill="1" applyBorder="1" applyAlignment="1">
      <alignment horizontal="center" vertical="center" wrapText="1"/>
    </xf>
    <xf numFmtId="0" fontId="1" fillId="0" borderId="1" xfId="0" applyFont="1" applyFill="1" applyBorder="1" applyAlignment="1">
      <alignment vertical="center" wrapText="1"/>
    </xf>
    <xf numFmtId="0" fontId="0" fillId="4" borderId="0" xfId="0" applyFill="1"/>
    <xf numFmtId="0" fontId="48" fillId="4" borderId="0" xfId="0" applyFont="1" applyFill="1"/>
    <xf numFmtId="0" fontId="0" fillId="0" borderId="0" xfId="0" applyFill="1"/>
    <xf numFmtId="0" fontId="8" fillId="4" borderId="0" xfId="0" applyFont="1" applyFill="1" applyAlignment="1">
      <alignment wrapText="1"/>
    </xf>
    <xf numFmtId="49" fontId="13" fillId="0" borderId="54" xfId="0" applyNumberFormat="1" applyFont="1" applyFill="1" applyBorder="1" applyAlignment="1">
      <alignment horizontal="center" vertical="center" wrapText="1"/>
    </xf>
    <xf numFmtId="3" fontId="13" fillId="16" borderId="54" xfId="0" applyNumberFormat="1" applyFont="1" applyFill="1" applyBorder="1" applyAlignment="1">
      <alignment horizontal="center" vertical="center" wrapText="1"/>
    </xf>
    <xf numFmtId="0" fontId="30" fillId="0" borderId="41" xfId="0" applyFont="1" applyFill="1" applyBorder="1" applyAlignment="1">
      <alignment horizontal="center" vertical="center"/>
    </xf>
    <xf numFmtId="0" fontId="8" fillId="0" borderId="0" xfId="0" applyFont="1" applyAlignment="1" applyProtection="1">
      <alignment vertical="center" wrapText="1"/>
    </xf>
    <xf numFmtId="0" fontId="16" fillId="0" borderId="0" xfId="1" applyFont="1" applyBorder="1" applyAlignment="1" applyProtection="1">
      <alignment vertical="top" wrapText="1"/>
    </xf>
    <xf numFmtId="0" fontId="38" fillId="0" borderId="0" xfId="0" applyFont="1" applyFill="1" applyAlignment="1" applyProtection="1">
      <alignment horizontal="left" vertical="top" wrapText="1"/>
    </xf>
    <xf numFmtId="0" fontId="16" fillId="0" borderId="0" xfId="1" applyFont="1" applyBorder="1" applyAlignment="1" applyProtection="1">
      <alignment vertical="center" wrapText="1"/>
    </xf>
    <xf numFmtId="0" fontId="38" fillId="0" borderId="0" xfId="0" applyFont="1" applyFill="1" applyAlignment="1" applyProtection="1">
      <alignment horizontal="left" vertical="center" wrapText="1"/>
    </xf>
    <xf numFmtId="0" fontId="8" fillId="0" borderId="0" xfId="0" applyFont="1" applyFill="1" applyAlignment="1" applyProtection="1">
      <alignment vertical="center" wrapText="1"/>
    </xf>
    <xf numFmtId="0" fontId="83" fillId="0" borderId="0" xfId="1" applyFont="1" applyBorder="1" applyAlignment="1" applyProtection="1">
      <alignment horizontal="center" vertical="center" wrapText="1"/>
    </xf>
    <xf numFmtId="0" fontId="83" fillId="0" borderId="0" xfId="1" applyFont="1" applyBorder="1" applyAlignment="1" applyProtection="1">
      <alignment vertical="center" wrapText="1"/>
    </xf>
    <xf numFmtId="0" fontId="39" fillId="0" borderId="0" xfId="1" applyFont="1" applyBorder="1" applyAlignment="1" applyProtection="1">
      <alignment vertical="center" wrapText="1"/>
    </xf>
    <xf numFmtId="0" fontId="84" fillId="0" borderId="0" xfId="1" applyFont="1" applyBorder="1" applyAlignment="1" applyProtection="1">
      <alignment vertical="center" wrapText="1"/>
    </xf>
    <xf numFmtId="0" fontId="39" fillId="0" borderId="0" xfId="1" applyFont="1" applyFill="1" applyBorder="1" applyAlignment="1" applyProtection="1">
      <alignment vertical="center"/>
    </xf>
    <xf numFmtId="0" fontId="16" fillId="0" borderId="0" xfId="1" applyFont="1" applyBorder="1" applyAlignment="1" applyProtection="1">
      <alignment vertical="center"/>
    </xf>
    <xf numFmtId="0" fontId="39" fillId="0" borderId="0" xfId="1" applyFont="1" applyBorder="1" applyAlignment="1" applyProtection="1">
      <alignment horizontal="left" vertical="center"/>
    </xf>
    <xf numFmtId="0" fontId="37" fillId="0" borderId="0" xfId="0" applyFont="1" applyAlignment="1" applyProtection="1">
      <alignment vertical="center" wrapText="1"/>
    </xf>
    <xf numFmtId="0" fontId="8" fillId="0" borderId="7" xfId="0" applyFont="1" applyBorder="1" applyAlignment="1" applyProtection="1">
      <alignment horizontal="center" vertical="center" wrapText="1"/>
    </xf>
    <xf numFmtId="0" fontId="22" fillId="0" borderId="20" xfId="0" applyFont="1" applyFill="1" applyBorder="1" applyAlignment="1" applyProtection="1">
      <alignment horizontal="center" vertical="center" wrapText="1"/>
    </xf>
    <xf numFmtId="0" fontId="22" fillId="0" borderId="25" xfId="0" applyFont="1" applyFill="1" applyBorder="1" applyAlignment="1" applyProtection="1">
      <alignment horizontal="center" vertical="center" wrapText="1"/>
    </xf>
    <xf numFmtId="0" fontId="22" fillId="0" borderId="55" xfId="0" applyFont="1" applyFill="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7" xfId="0" applyFont="1" applyFill="1" applyBorder="1" applyAlignment="1" applyProtection="1">
      <alignment horizontal="center" vertical="center" wrapText="1"/>
    </xf>
    <xf numFmtId="0" fontId="8" fillId="0" borderId="53" xfId="0" applyFont="1" applyFill="1" applyBorder="1" applyAlignment="1" applyProtection="1">
      <alignment horizontal="center" vertical="center" wrapText="1"/>
    </xf>
    <xf numFmtId="0" fontId="8" fillId="0" borderId="27" xfId="0" applyFont="1" applyFill="1" applyBorder="1" applyAlignment="1" applyProtection="1">
      <alignment horizontal="center" vertical="center" wrapText="1"/>
    </xf>
    <xf numFmtId="0" fontId="22" fillId="0" borderId="1" xfId="0" applyFont="1" applyBorder="1" applyAlignment="1" applyProtection="1">
      <alignment horizontal="center" vertical="center" wrapText="1"/>
    </xf>
    <xf numFmtId="0" fontId="28" fillId="0" borderId="0" xfId="0" applyFont="1" applyBorder="1" applyAlignment="1" applyProtection="1">
      <alignment vertical="center" wrapText="1"/>
    </xf>
    <xf numFmtId="169" fontId="10" fillId="0" borderId="0" xfId="9" applyFont="1" applyFill="1" applyBorder="1" applyAlignment="1" applyProtection="1">
      <alignment horizontal="left" vertical="center" wrapText="1"/>
    </xf>
    <xf numFmtId="0" fontId="22" fillId="37" borderId="1" xfId="0" applyFont="1" applyFill="1" applyBorder="1" applyAlignment="1" applyProtection="1">
      <alignment vertical="center" wrapText="1"/>
    </xf>
    <xf numFmtId="49" fontId="11" fillId="37" borderId="1" xfId="0" applyNumberFormat="1" applyFont="1" applyFill="1" applyBorder="1" applyAlignment="1" applyProtection="1">
      <alignment vertical="center" wrapText="1"/>
    </xf>
    <xf numFmtId="177" fontId="22" fillId="37" borderId="1" xfId="0" applyNumberFormat="1" applyFont="1" applyFill="1" applyBorder="1" applyAlignment="1" applyProtection="1">
      <alignment horizontal="left" vertical="center" wrapText="1"/>
    </xf>
    <xf numFmtId="0" fontId="8" fillId="37" borderId="1" xfId="0" applyFont="1" applyFill="1" applyBorder="1" applyAlignment="1" applyProtection="1">
      <alignment horizontal="center" vertical="center" wrapText="1"/>
    </xf>
    <xf numFmtId="0" fontId="8" fillId="0" borderId="4"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3" fontId="8" fillId="0" borderId="1" xfId="0" applyNumberFormat="1" applyFont="1" applyFill="1" applyBorder="1" applyAlignment="1" applyProtection="1">
      <alignment vertical="center" wrapText="1"/>
    </xf>
    <xf numFmtId="9" fontId="8" fillId="0" borderId="0" xfId="13" applyFont="1" applyAlignment="1" applyProtection="1">
      <alignment vertical="center" wrapText="1"/>
    </xf>
    <xf numFmtId="0" fontId="34" fillId="5" borderId="1" xfId="0" applyFont="1" applyFill="1" applyBorder="1" applyProtection="1"/>
    <xf numFmtId="0" fontId="8" fillId="0" borderId="0" xfId="0" applyFont="1" applyFill="1" applyBorder="1" applyAlignment="1" applyProtection="1">
      <alignment vertical="center" wrapText="1"/>
    </xf>
    <xf numFmtId="0" fontId="35" fillId="37" borderId="1" xfId="0" applyFont="1" applyFill="1" applyBorder="1" applyAlignment="1" applyProtection="1">
      <alignment vertical="center" wrapText="1"/>
    </xf>
    <xf numFmtId="49" fontId="100" fillId="38" borderId="1" xfId="0" applyNumberFormat="1" applyFont="1" applyFill="1" applyBorder="1" applyAlignment="1" applyProtection="1">
      <alignment vertical="center" wrapText="1"/>
    </xf>
    <xf numFmtId="177" fontId="35" fillId="37" borderId="1" xfId="0" applyNumberFormat="1" applyFont="1" applyFill="1" applyBorder="1" applyAlignment="1" applyProtection="1">
      <alignment horizontal="left" vertical="center" wrapText="1"/>
    </xf>
    <xf numFmtId="0" fontId="35" fillId="37" borderId="1" xfId="0" applyFont="1" applyFill="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93" fillId="32" borderId="1" xfId="0" applyFont="1" applyFill="1" applyBorder="1" applyProtection="1"/>
    <xf numFmtId="49" fontId="11" fillId="38" borderId="1" xfId="0" applyNumberFormat="1" applyFont="1" applyFill="1" applyBorder="1" applyAlignment="1" applyProtection="1">
      <alignment vertical="center" wrapText="1"/>
    </xf>
    <xf numFmtId="0" fontId="8" fillId="0" borderId="40" xfId="0" applyFont="1" applyBorder="1" applyAlignment="1" applyProtection="1">
      <alignment horizontal="center" vertical="center" wrapText="1"/>
    </xf>
    <xf numFmtId="0" fontId="13" fillId="0" borderId="40" xfId="0" applyFont="1" applyBorder="1" applyAlignment="1" applyProtection="1">
      <alignment horizontal="center" vertical="center" wrapText="1"/>
    </xf>
    <xf numFmtId="0" fontId="34" fillId="4" borderId="1" xfId="0" applyFont="1" applyFill="1" applyBorder="1" applyProtection="1"/>
    <xf numFmtId="0" fontId="12" fillId="27" borderId="12" xfId="0" applyFont="1" applyFill="1" applyBorder="1" applyAlignment="1" applyProtection="1">
      <alignment vertical="center" wrapText="1"/>
    </xf>
    <xf numFmtId="49" fontId="12" fillId="27" borderId="1" xfId="0" applyNumberFormat="1" applyFont="1" applyFill="1" applyBorder="1" applyAlignment="1" applyProtection="1">
      <alignment vertical="center" wrapText="1"/>
    </xf>
    <xf numFmtId="1" fontId="99" fillId="27" borderId="1" xfId="0" applyNumberFormat="1" applyFont="1" applyFill="1" applyBorder="1" applyAlignment="1" applyProtection="1">
      <alignment horizontal="center" vertical="center" wrapText="1"/>
    </xf>
    <xf numFmtId="0" fontId="11" fillId="6" borderId="30" xfId="0" applyFont="1" applyFill="1" applyBorder="1" applyAlignment="1" applyProtection="1">
      <alignment vertical="center" wrapText="1"/>
    </xf>
    <xf numFmtId="0" fontId="8" fillId="0" borderId="0" xfId="0" applyFont="1" applyAlignment="1" applyProtection="1">
      <alignment horizontal="center" vertical="center" wrapText="1"/>
    </xf>
    <xf numFmtId="0" fontId="34" fillId="13" borderId="1" xfId="0" applyFont="1" applyFill="1" applyBorder="1" applyProtection="1"/>
    <xf numFmtId="0" fontId="12" fillId="6" borderId="12" xfId="0" applyFont="1" applyFill="1" applyBorder="1" applyAlignment="1" applyProtection="1">
      <alignment vertical="center" wrapText="1"/>
    </xf>
    <xf numFmtId="49" fontId="12" fillId="6" borderId="1" xfId="0" applyNumberFormat="1" applyFont="1" applyFill="1" applyBorder="1" applyAlignment="1" applyProtection="1">
      <alignment vertical="center" wrapText="1"/>
    </xf>
    <xf numFmtId="1" fontId="99" fillId="6" borderId="1" xfId="0" applyNumberFormat="1" applyFont="1" applyFill="1" applyBorder="1" applyAlignment="1" applyProtection="1">
      <alignment horizontal="center" vertical="center" wrapText="1"/>
    </xf>
    <xf numFmtId="0" fontId="12" fillId="6" borderId="30" xfId="0" applyFont="1" applyFill="1" applyBorder="1" applyAlignment="1" applyProtection="1">
      <alignment vertical="center" wrapText="1"/>
    </xf>
    <xf numFmtId="0" fontId="34" fillId="39" borderId="1" xfId="0" applyFont="1" applyFill="1" applyBorder="1" applyProtection="1"/>
    <xf numFmtId="0" fontId="12" fillId="27" borderId="30" xfId="0" applyFont="1" applyFill="1" applyBorder="1" applyAlignment="1" applyProtection="1">
      <alignment vertical="center" wrapText="1"/>
    </xf>
    <xf numFmtId="0" fontId="100" fillId="27" borderId="12" xfId="0" applyFont="1" applyFill="1" applyBorder="1" applyAlignment="1" applyProtection="1">
      <alignment vertical="center" wrapText="1"/>
    </xf>
    <xf numFmtId="49" fontId="100" fillId="27" borderId="1" xfId="0" applyNumberFormat="1" applyFont="1" applyFill="1" applyBorder="1" applyAlignment="1" applyProtection="1">
      <alignment vertical="center" wrapText="1"/>
    </xf>
    <xf numFmtId="1" fontId="100" fillId="27" borderId="1" xfId="0" applyNumberFormat="1" applyFont="1" applyFill="1" applyBorder="1" applyAlignment="1" applyProtection="1">
      <alignment horizontal="center" vertical="center" wrapText="1"/>
    </xf>
    <xf numFmtId="0" fontId="100" fillId="27" borderId="30" xfId="0" applyFont="1" applyFill="1" applyBorder="1" applyAlignment="1" applyProtection="1">
      <alignment vertical="center" wrapText="1"/>
    </xf>
    <xf numFmtId="0" fontId="11" fillId="6" borderId="12" xfId="0" applyFont="1" applyFill="1" applyBorder="1" applyAlignment="1" applyProtection="1">
      <alignment vertical="center" wrapText="1"/>
    </xf>
    <xf numFmtId="0" fontId="11" fillId="6" borderId="1" xfId="0" applyFont="1" applyFill="1" applyBorder="1" applyAlignment="1" applyProtection="1">
      <alignment vertical="center" wrapText="1"/>
    </xf>
    <xf numFmtId="0" fontId="101" fillId="6" borderId="1" xfId="0" applyFont="1" applyFill="1" applyBorder="1" applyAlignment="1" applyProtection="1">
      <alignment horizontal="center" vertical="center" wrapText="1"/>
    </xf>
    <xf numFmtId="0" fontId="8" fillId="0" borderId="62" xfId="0" applyFont="1" applyBorder="1" applyAlignment="1" applyProtection="1">
      <alignment vertical="center" wrapText="1"/>
    </xf>
    <xf numFmtId="3" fontId="8" fillId="0" borderId="52" xfId="0" applyNumberFormat="1" applyFont="1" applyFill="1" applyBorder="1" applyAlignment="1" applyProtection="1">
      <alignment vertical="center" wrapText="1"/>
    </xf>
    <xf numFmtId="0" fontId="85" fillId="0" borderId="0" xfId="0" applyFont="1" applyAlignment="1" applyProtection="1">
      <alignment horizontal="center" vertical="center" wrapText="1"/>
    </xf>
    <xf numFmtId="0" fontId="85" fillId="0" borderId="0" xfId="0" applyFont="1" applyAlignment="1" applyProtection="1">
      <alignment vertical="center" wrapText="1"/>
    </xf>
    <xf numFmtId="0" fontId="100" fillId="28" borderId="12" xfId="0" applyFont="1" applyFill="1" applyBorder="1" applyAlignment="1" applyProtection="1">
      <alignment vertical="center" wrapText="1"/>
    </xf>
    <xf numFmtId="49" fontId="100" fillId="28" borderId="1" xfId="0" applyNumberFormat="1" applyFont="1" applyFill="1" applyBorder="1" applyAlignment="1" applyProtection="1">
      <alignment vertical="center" wrapText="1"/>
    </xf>
    <xf numFmtId="1" fontId="100" fillId="28" borderId="1" xfId="0" applyNumberFormat="1" applyFont="1" applyFill="1" applyBorder="1" applyAlignment="1" applyProtection="1">
      <alignment horizontal="center" vertical="center" wrapText="1"/>
    </xf>
    <xf numFmtId="0" fontId="100" fillId="28" borderId="30" xfId="0" applyFont="1" applyFill="1" applyBorder="1" applyAlignment="1" applyProtection="1">
      <alignment vertical="center" wrapText="1"/>
    </xf>
    <xf numFmtId="0" fontId="12" fillId="28" borderId="12" xfId="0" applyFont="1" applyFill="1" applyBorder="1" applyAlignment="1" applyProtection="1">
      <alignment vertical="center" wrapText="1"/>
    </xf>
    <xf numFmtId="49" fontId="12" fillId="28" borderId="1" xfId="0" applyNumberFormat="1" applyFont="1" applyFill="1" applyBorder="1" applyAlignment="1" applyProtection="1">
      <alignment vertical="center" wrapText="1"/>
    </xf>
    <xf numFmtId="1" fontId="99" fillId="28" borderId="1" xfId="0" applyNumberFormat="1" applyFont="1" applyFill="1" applyBorder="1" applyAlignment="1" applyProtection="1">
      <alignment horizontal="center" vertical="center" wrapText="1"/>
    </xf>
    <xf numFmtId="0" fontId="12" fillId="28" borderId="30" xfId="0" applyFont="1" applyFill="1" applyBorder="1" applyAlignment="1" applyProtection="1">
      <alignment vertical="center" wrapText="1"/>
    </xf>
    <xf numFmtId="1" fontId="99" fillId="17" borderId="1" xfId="0" applyNumberFormat="1" applyFont="1" applyFill="1" applyBorder="1" applyAlignment="1" applyProtection="1">
      <alignment horizontal="center" vertical="center" wrapText="1"/>
    </xf>
    <xf numFmtId="0" fontId="100" fillId="30" borderId="12" xfId="0" applyFont="1" applyFill="1" applyBorder="1" applyAlignment="1" applyProtection="1">
      <alignment vertical="center" wrapText="1"/>
    </xf>
    <xf numFmtId="49" fontId="100" fillId="31" borderId="1" xfId="0" applyNumberFormat="1" applyFont="1" applyFill="1" applyBorder="1" applyAlignment="1" applyProtection="1">
      <alignment vertical="center" wrapText="1"/>
    </xf>
    <xf numFmtId="1" fontId="100" fillId="31" borderId="1" xfId="0" applyNumberFormat="1" applyFont="1" applyFill="1" applyBorder="1" applyAlignment="1" applyProtection="1">
      <alignment horizontal="center" vertical="center" wrapText="1"/>
    </xf>
    <xf numFmtId="0" fontId="100" fillId="29" borderId="30" xfId="0" applyFont="1" applyFill="1" applyBorder="1" applyAlignment="1" applyProtection="1">
      <alignment vertical="center" wrapText="1"/>
    </xf>
    <xf numFmtId="0" fontId="26" fillId="0" borderId="0" xfId="0" applyFont="1" applyFill="1" applyBorder="1" applyAlignment="1" applyProtection="1">
      <alignment vertical="center" wrapText="1"/>
    </xf>
    <xf numFmtId="0" fontId="12" fillId="29" borderId="12" xfId="0" applyFont="1" applyFill="1" applyBorder="1" applyAlignment="1" applyProtection="1">
      <alignment vertical="center" wrapText="1"/>
    </xf>
    <xf numFmtId="49" fontId="12" fillId="29" borderId="1" xfId="0" applyNumberFormat="1" applyFont="1" applyFill="1" applyBorder="1" applyAlignment="1" applyProtection="1">
      <alignment vertical="center" wrapText="1"/>
    </xf>
    <xf numFmtId="1" fontId="99" fillId="29" borderId="1" xfId="0" applyNumberFormat="1" applyFont="1" applyFill="1" applyBorder="1" applyAlignment="1" applyProtection="1">
      <alignment horizontal="center" vertical="center" wrapText="1"/>
    </xf>
    <xf numFmtId="0" fontId="12" fillId="29" borderId="30" xfId="0" applyFont="1" applyFill="1" applyBorder="1" applyAlignment="1" applyProtection="1">
      <alignment vertical="center" wrapText="1"/>
    </xf>
    <xf numFmtId="0" fontId="8" fillId="0" borderId="62" xfId="0" applyFont="1" applyBorder="1" applyAlignment="1" applyProtection="1">
      <alignment horizontal="center" vertical="center" wrapText="1"/>
    </xf>
    <xf numFmtId="0" fontId="12" fillId="29" borderId="41" xfId="0" applyFont="1" applyFill="1" applyBorder="1" applyAlignment="1" applyProtection="1">
      <alignment vertical="center" wrapText="1"/>
    </xf>
    <xf numFmtId="49" fontId="12" fillId="29" borderId="51" xfId="0" applyNumberFormat="1" applyFont="1" applyFill="1" applyBorder="1" applyAlignment="1" applyProtection="1">
      <alignment vertical="center" wrapText="1"/>
    </xf>
    <xf numFmtId="1" fontId="99" fillId="29" borderId="51" xfId="0" applyNumberFormat="1" applyFont="1" applyFill="1" applyBorder="1" applyAlignment="1" applyProtection="1">
      <alignment horizontal="center" vertical="center" wrapText="1"/>
    </xf>
    <xf numFmtId="0" fontId="12" fillId="29" borderId="42" xfId="0" applyFont="1" applyFill="1" applyBorder="1" applyAlignment="1" applyProtection="1">
      <alignment vertical="center" wrapText="1"/>
    </xf>
    <xf numFmtId="0" fontId="37" fillId="0" borderId="0" xfId="0" applyFont="1" applyAlignment="1" applyProtection="1">
      <alignment horizontal="center" vertical="center" wrapText="1"/>
    </xf>
    <xf numFmtId="4" fontId="8" fillId="0" borderId="0" xfId="0" applyNumberFormat="1" applyFont="1"/>
    <xf numFmtId="0" fontId="82" fillId="21" borderId="0" xfId="0" applyFont="1" applyFill="1" applyAlignment="1" applyProtection="1">
      <alignment horizontal="left" vertical="center" wrapText="1"/>
    </xf>
    <xf numFmtId="0" fontId="16" fillId="0" borderId="0" xfId="1" applyFont="1" applyBorder="1" applyAlignment="1" applyProtection="1">
      <alignment horizontal="left" vertical="top" wrapText="1"/>
    </xf>
    <xf numFmtId="0" fontId="83" fillId="0" borderId="0" xfId="1" applyFont="1" applyBorder="1" applyAlignment="1" applyProtection="1">
      <alignment horizontal="left" vertical="center" wrapText="1"/>
    </xf>
    <xf numFmtId="0" fontId="48" fillId="4" borderId="0" xfId="0" applyFont="1" applyFill="1" applyAlignment="1" applyProtection="1">
      <alignment horizontal="center" vertical="top" wrapText="1"/>
    </xf>
    <xf numFmtId="0" fontId="48" fillId="4" borderId="0" xfId="0" applyFont="1" applyFill="1" applyAlignment="1" applyProtection="1">
      <alignment horizontal="left" vertical="center" wrapText="1"/>
    </xf>
    <xf numFmtId="0" fontId="13" fillId="6" borderId="29" xfId="0" applyFont="1" applyFill="1" applyBorder="1" applyAlignment="1">
      <alignment horizontal="center" vertical="center" wrapText="1"/>
    </xf>
    <xf numFmtId="0" fontId="13" fillId="6" borderId="33" xfId="0" applyFont="1" applyFill="1" applyBorder="1" applyAlignment="1">
      <alignment horizontal="center" vertical="center" wrapText="1"/>
    </xf>
    <xf numFmtId="0" fontId="13" fillId="6" borderId="23" xfId="0" applyFont="1" applyFill="1" applyBorder="1" applyAlignment="1">
      <alignment horizontal="center" vertical="center" wrapText="1"/>
    </xf>
    <xf numFmtId="0" fontId="13" fillId="6" borderId="24" xfId="0" applyFont="1" applyFill="1" applyBorder="1" applyAlignment="1">
      <alignment horizontal="center" vertical="center" wrapText="1"/>
    </xf>
    <xf numFmtId="0" fontId="13" fillId="6" borderId="25" xfId="0" applyFont="1" applyFill="1" applyBorder="1" applyAlignment="1">
      <alignment horizontal="center" vertical="center" wrapText="1"/>
    </xf>
    <xf numFmtId="0" fontId="13" fillId="6" borderId="26" xfId="0" applyFont="1" applyFill="1" applyBorder="1" applyAlignment="1">
      <alignment horizontal="center" vertical="center" wrapText="1"/>
    </xf>
    <xf numFmtId="0" fontId="13" fillId="6" borderId="27" xfId="0" applyFont="1" applyFill="1" applyBorder="1" applyAlignment="1">
      <alignment horizontal="center" vertical="center" wrapText="1"/>
    </xf>
    <xf numFmtId="0" fontId="82" fillId="21" borderId="0" xfId="0" applyFont="1" applyFill="1" applyAlignment="1">
      <alignment horizontal="left" vertical="center" wrapText="1"/>
    </xf>
    <xf numFmtId="0" fontId="48" fillId="4" borderId="0" xfId="0" applyFont="1" applyFill="1" applyAlignment="1">
      <alignment horizontal="left" vertical="center" wrapText="1"/>
    </xf>
    <xf numFmtId="0" fontId="48" fillId="4" borderId="0" xfId="0" applyFont="1" applyFill="1" applyAlignment="1">
      <alignment horizontal="left" vertical="center"/>
    </xf>
    <xf numFmtId="0" fontId="16" fillId="0" borderId="0" xfId="1" applyFont="1" applyBorder="1" applyAlignment="1">
      <alignment horizontal="left" vertical="top" wrapText="1"/>
    </xf>
    <xf numFmtId="0" fontId="13" fillId="2" borderId="29" xfId="0" applyFont="1" applyFill="1" applyBorder="1" applyAlignment="1" applyProtection="1">
      <alignment horizontal="left" vertical="center" wrapText="1"/>
      <protection locked="0"/>
    </xf>
    <xf numFmtId="0" fontId="13" fillId="2" borderId="33" xfId="0" applyFont="1" applyFill="1" applyBorder="1" applyAlignment="1" applyProtection="1">
      <alignment horizontal="left" vertical="center" wrapText="1"/>
      <protection locked="0"/>
    </xf>
    <xf numFmtId="0" fontId="13" fillId="2" borderId="23" xfId="0" applyFont="1" applyFill="1" applyBorder="1" applyAlignment="1" applyProtection="1">
      <alignment horizontal="left" vertical="center" wrapText="1"/>
      <protection locked="0"/>
    </xf>
    <xf numFmtId="0" fontId="13" fillId="2" borderId="29" xfId="0" applyFont="1" applyFill="1" applyBorder="1" applyAlignment="1" applyProtection="1">
      <alignment horizontal="center" vertical="center" wrapText="1"/>
      <protection locked="0"/>
    </xf>
    <xf numFmtId="0" fontId="13" fillId="2" borderId="33" xfId="0" applyFont="1" applyFill="1" applyBorder="1" applyAlignment="1" applyProtection="1">
      <alignment horizontal="center" vertical="center" wrapText="1"/>
      <protection locked="0"/>
    </xf>
    <xf numFmtId="0" fontId="13" fillId="2" borderId="23" xfId="0" applyFont="1" applyFill="1" applyBorder="1" applyAlignment="1" applyProtection="1">
      <alignment horizontal="center" vertical="center" wrapText="1"/>
      <protection locked="0"/>
    </xf>
    <xf numFmtId="0" fontId="8" fillId="9" borderId="24" xfId="0" applyFont="1" applyFill="1" applyBorder="1" applyAlignment="1">
      <alignment horizontal="center" vertical="center" wrapText="1"/>
    </xf>
    <xf numFmtId="0" fontId="8" fillId="9" borderId="45" xfId="0" applyFont="1" applyFill="1" applyBorder="1" applyAlignment="1">
      <alignment horizontal="center" vertical="center" wrapText="1"/>
    </xf>
    <xf numFmtId="0" fontId="8" fillId="9" borderId="25" xfId="0" applyFont="1" applyFill="1" applyBorder="1" applyAlignment="1">
      <alignment horizontal="center" vertical="center" wrapText="1"/>
    </xf>
    <xf numFmtId="0" fontId="8" fillId="9" borderId="26" xfId="0" applyFont="1" applyFill="1" applyBorder="1" applyAlignment="1">
      <alignment horizontal="center" vertical="center" wrapText="1"/>
    </xf>
    <xf numFmtId="0" fontId="8" fillId="9" borderId="7" xfId="0" applyFont="1" applyFill="1" applyBorder="1" applyAlignment="1">
      <alignment horizontal="center" vertical="center" wrapText="1"/>
    </xf>
    <xf numFmtId="0" fontId="8" fillId="9" borderId="27" xfId="0" applyFont="1" applyFill="1" applyBorder="1" applyAlignment="1">
      <alignment horizontal="center" vertical="center" wrapText="1"/>
    </xf>
    <xf numFmtId="0" fontId="8" fillId="11" borderId="24" xfId="0" applyFont="1" applyFill="1" applyBorder="1" applyAlignment="1">
      <alignment horizontal="center" vertical="center" wrapText="1"/>
    </xf>
    <xf numFmtId="0" fontId="8" fillId="11" borderId="45" xfId="0" applyFont="1" applyFill="1" applyBorder="1" applyAlignment="1">
      <alignment horizontal="center" vertical="center" wrapText="1"/>
    </xf>
    <xf numFmtId="0" fontId="8" fillId="11" borderId="25" xfId="0" applyFont="1" applyFill="1" applyBorder="1" applyAlignment="1">
      <alignment horizontal="center" vertical="center" wrapText="1"/>
    </xf>
    <xf numFmtId="0" fontId="8" fillId="11" borderId="26" xfId="0" applyFont="1" applyFill="1" applyBorder="1" applyAlignment="1">
      <alignment horizontal="center" vertical="center" wrapText="1"/>
    </xf>
    <xf numFmtId="0" fontId="8" fillId="11" borderId="7" xfId="0" applyFont="1" applyFill="1" applyBorder="1" applyAlignment="1">
      <alignment horizontal="center" vertical="center" wrapText="1"/>
    </xf>
    <xf numFmtId="0" fontId="8" fillId="11" borderId="27" xfId="0" applyFont="1" applyFill="1" applyBorder="1" applyAlignment="1">
      <alignment horizontal="center" vertical="center" wrapText="1"/>
    </xf>
    <xf numFmtId="0" fontId="48" fillId="4" borderId="0" xfId="0" applyFont="1" applyFill="1" applyAlignment="1">
      <alignment horizontal="center" vertical="center" wrapText="1"/>
    </xf>
    <xf numFmtId="0" fontId="48" fillId="4" borderId="0" xfId="0" applyFont="1" applyFill="1" applyAlignment="1">
      <alignment horizontal="center" vertical="center"/>
    </xf>
    <xf numFmtId="0" fontId="83" fillId="0" borderId="0" xfId="1" applyFont="1" applyBorder="1" applyAlignment="1">
      <alignment horizontal="center" vertical="center" wrapText="1"/>
    </xf>
    <xf numFmtId="0" fontId="13" fillId="3" borderId="29" xfId="0" applyFont="1" applyFill="1" applyBorder="1" applyAlignment="1">
      <alignment horizontal="left" vertical="center" wrapText="1"/>
    </xf>
    <xf numFmtId="0" fontId="13" fillId="3" borderId="33" xfId="0" applyFont="1" applyFill="1" applyBorder="1" applyAlignment="1">
      <alignment horizontal="left" vertical="center" wrapText="1"/>
    </xf>
    <xf numFmtId="0" fontId="13" fillId="3" borderId="23" xfId="0" applyFont="1" applyFill="1" applyBorder="1" applyAlignment="1">
      <alignment horizontal="left" vertical="center" wrapText="1"/>
    </xf>
    <xf numFmtId="0" fontId="13" fillId="12" borderId="29" xfId="0" applyFont="1" applyFill="1" applyBorder="1" applyAlignment="1">
      <alignment horizontal="center" vertical="center" wrapText="1"/>
    </xf>
    <xf numFmtId="0" fontId="13" fillId="12" borderId="33" xfId="0" applyFont="1" applyFill="1" applyBorder="1" applyAlignment="1">
      <alignment horizontal="center" vertical="center" wrapText="1"/>
    </xf>
    <xf numFmtId="0" fontId="13" fillId="12" borderId="23" xfId="0" applyFont="1" applyFill="1" applyBorder="1" applyAlignment="1">
      <alignment horizontal="center" vertical="center" wrapText="1"/>
    </xf>
    <xf numFmtId="0" fontId="62" fillId="18" borderId="26" xfId="1" applyFont="1" applyFill="1" applyBorder="1" applyAlignment="1">
      <alignment horizontal="center" vertical="center" wrapText="1"/>
    </xf>
    <xf numFmtId="0" fontId="62" fillId="18" borderId="7" xfId="1" applyFont="1" applyFill="1" applyBorder="1" applyAlignment="1">
      <alignment horizontal="center" vertical="center"/>
    </xf>
    <xf numFmtId="0" fontId="62" fillId="18" borderId="27" xfId="1" applyFont="1" applyFill="1" applyBorder="1" applyAlignment="1">
      <alignment horizontal="center" vertical="center"/>
    </xf>
    <xf numFmtId="0" fontId="17" fillId="18" borderId="14" xfId="1" applyFont="1" applyFill="1" applyBorder="1" applyAlignment="1">
      <alignment horizontal="center" vertical="center"/>
    </xf>
    <xf numFmtId="0" fontId="17" fillId="18" borderId="8" xfId="1" applyFont="1" applyFill="1" applyBorder="1" applyAlignment="1">
      <alignment horizontal="center" vertical="center"/>
    </xf>
    <xf numFmtId="0" fontId="86" fillId="0" borderId="7" xfId="1" applyFont="1" applyFill="1" applyBorder="1" applyAlignment="1">
      <alignment horizontal="center" vertical="center"/>
    </xf>
    <xf numFmtId="0" fontId="16" fillId="18" borderId="14" xfId="1" applyFont="1" applyFill="1" applyBorder="1" applyAlignment="1">
      <alignment horizontal="center" vertical="center"/>
    </xf>
    <xf numFmtId="0" fontId="16" fillId="18" borderId="55" xfId="1" applyFont="1" applyFill="1" applyBorder="1" applyAlignment="1">
      <alignment horizontal="center" vertical="center"/>
    </xf>
    <xf numFmtId="0" fontId="16" fillId="18" borderId="8" xfId="1" applyFont="1" applyFill="1" applyBorder="1" applyAlignment="1">
      <alignment horizontal="center" vertical="center"/>
    </xf>
    <xf numFmtId="0" fontId="16" fillId="0" borderId="0" xfId="1" applyFont="1" applyBorder="1" applyAlignment="1">
      <alignment horizontal="center" vertical="top" wrapText="1"/>
    </xf>
    <xf numFmtId="0" fontId="88" fillId="32" borderId="0" xfId="1" applyFont="1" applyFill="1" applyAlignment="1">
      <alignment horizontal="left" vertical="center"/>
    </xf>
    <xf numFmtId="0" fontId="62" fillId="18" borderId="14" xfId="1" applyFont="1" applyFill="1" applyBorder="1" applyAlignment="1">
      <alignment horizontal="center" vertical="center" wrapText="1"/>
    </xf>
    <xf numFmtId="0" fontId="62" fillId="18" borderId="55" xfId="1" applyFont="1" applyFill="1" applyBorder="1" applyAlignment="1">
      <alignment horizontal="center" vertical="center" wrapText="1"/>
    </xf>
    <xf numFmtId="0" fontId="62" fillId="18" borderId="8" xfId="1" applyFont="1" applyFill="1" applyBorder="1" applyAlignment="1">
      <alignment horizontal="center" vertical="center" wrapText="1"/>
    </xf>
    <xf numFmtId="0" fontId="90" fillId="21" borderId="0" xfId="0" applyFont="1" applyFill="1" applyAlignment="1">
      <alignment horizontal="center" vertical="center" wrapText="1"/>
    </xf>
    <xf numFmtId="0" fontId="22" fillId="0" borderId="10" xfId="0" applyFont="1" applyFill="1" applyBorder="1" applyAlignment="1">
      <alignment horizontal="center" vertical="center"/>
    </xf>
    <xf numFmtId="0" fontId="22" fillId="0" borderId="39" xfId="0" applyFont="1" applyFill="1" applyBorder="1" applyAlignment="1">
      <alignment horizontal="center" vertical="center"/>
    </xf>
    <xf numFmtId="0" fontId="23" fillId="21" borderId="0" xfId="0" applyFont="1" applyFill="1" applyAlignment="1">
      <alignment horizontal="left" wrapText="1"/>
    </xf>
    <xf numFmtId="0" fontId="22" fillId="13" borderId="0" xfId="0" applyFont="1" applyFill="1" applyAlignment="1">
      <alignment horizontal="center" vertical="center"/>
    </xf>
    <xf numFmtId="0" fontId="25" fillId="0" borderId="1" xfId="0" applyFont="1" applyFill="1" applyBorder="1" applyAlignment="1">
      <alignment horizontal="right" vertical="center" wrapText="1"/>
    </xf>
    <xf numFmtId="44" fontId="25" fillId="14" borderId="1" xfId="11" applyFont="1" applyFill="1" applyBorder="1" applyAlignment="1">
      <alignment horizontal="center" vertical="center"/>
    </xf>
    <xf numFmtId="0" fontId="8" fillId="0" borderId="1" xfId="0" applyFont="1" applyFill="1" applyBorder="1" applyAlignment="1">
      <alignment horizontal="right" vertical="center"/>
    </xf>
    <xf numFmtId="44" fontId="26" fillId="0" borderId="3" xfId="0" applyNumberFormat="1" applyFont="1" applyFill="1" applyBorder="1" applyAlignment="1">
      <alignment horizontal="right" vertical="center"/>
    </xf>
    <xf numFmtId="44" fontId="26" fillId="0" borderId="4" xfId="0" applyNumberFormat="1" applyFont="1" applyFill="1" applyBorder="1" applyAlignment="1">
      <alignment horizontal="right" vertical="center"/>
    </xf>
    <xf numFmtId="44" fontId="26" fillId="0" borderId="5" xfId="0" applyNumberFormat="1" applyFont="1" applyFill="1" applyBorder="1" applyAlignment="1">
      <alignment horizontal="right" vertical="center"/>
    </xf>
    <xf numFmtId="0" fontId="26" fillId="0" borderId="1" xfId="0" applyFont="1" applyFill="1" applyBorder="1" applyAlignment="1">
      <alignment horizontal="right" vertical="center" wrapText="1"/>
    </xf>
    <xf numFmtId="0" fontId="22" fillId="12" borderId="0" xfId="0" applyFont="1" applyFill="1" applyAlignment="1">
      <alignment horizontal="center" vertical="center"/>
    </xf>
    <xf numFmtId="166" fontId="8" fillId="0" borderId="1" xfId="0" applyNumberFormat="1" applyFont="1" applyFill="1" applyBorder="1" applyAlignment="1">
      <alignment horizontal="righ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5" xfId="0" applyFont="1" applyFill="1" applyBorder="1" applyAlignment="1">
      <alignment horizontal="left" vertical="center"/>
    </xf>
    <xf numFmtId="0" fontId="22" fillId="0" borderId="0" xfId="0" applyFont="1" applyFill="1" applyBorder="1" applyAlignment="1">
      <alignment horizontal="right" vertical="center"/>
    </xf>
    <xf numFmtId="0" fontId="22" fillId="0" borderId="62" xfId="0" applyFont="1" applyFill="1" applyBorder="1" applyAlignment="1">
      <alignment horizontal="right" vertical="center"/>
    </xf>
    <xf numFmtId="0" fontId="26" fillId="0" borderId="10" xfId="0" applyFont="1" applyFill="1" applyBorder="1" applyAlignment="1">
      <alignment horizontal="center" vertical="center"/>
    </xf>
    <xf numFmtId="0" fontId="26" fillId="0" borderId="11" xfId="0" applyFont="1" applyFill="1" applyBorder="1" applyAlignment="1">
      <alignment horizontal="center" vertical="center"/>
    </xf>
    <xf numFmtId="0" fontId="26" fillId="0" borderId="39" xfId="0" applyFont="1" applyFill="1" applyBorder="1" applyAlignment="1">
      <alignment horizontal="center" vertical="center"/>
    </xf>
    <xf numFmtId="0" fontId="26" fillId="0" borderId="51" xfId="0" applyFont="1" applyFill="1" applyBorder="1" applyAlignment="1">
      <alignment horizontal="center" vertical="center"/>
    </xf>
    <xf numFmtId="44" fontId="26" fillId="22" borderId="54" xfId="0" applyNumberFormat="1" applyFont="1" applyFill="1" applyBorder="1" applyAlignment="1">
      <alignment horizontal="center" vertical="center"/>
    </xf>
    <xf numFmtId="44" fontId="26" fillId="23" borderId="1" xfId="0" applyNumberFormat="1" applyFont="1" applyFill="1" applyBorder="1" applyAlignment="1">
      <alignment horizontal="center" vertical="center"/>
    </xf>
    <xf numFmtId="0" fontId="8" fillId="0" borderId="1" xfId="0" applyFont="1" applyFill="1" applyBorder="1" applyAlignment="1">
      <alignment horizontal="left" vertical="center"/>
    </xf>
    <xf numFmtId="0" fontId="8" fillId="0" borderId="0" xfId="0" applyFont="1" applyFill="1" applyAlignment="1">
      <alignment horizontal="center" vertical="center"/>
    </xf>
    <xf numFmtId="0" fontId="22" fillId="33" borderId="1" xfId="0" applyFont="1" applyFill="1" applyBorder="1" applyAlignment="1">
      <alignment horizontal="left" vertical="center"/>
    </xf>
    <xf numFmtId="44" fontId="26" fillId="0" borderId="51" xfId="0" applyNumberFormat="1" applyFont="1" applyFill="1" applyBorder="1" applyAlignment="1">
      <alignment horizontal="center" vertical="center"/>
    </xf>
    <xf numFmtId="44" fontId="26" fillId="0" borderId="1" xfId="0" applyNumberFormat="1" applyFont="1" applyFill="1" applyBorder="1" applyAlignment="1">
      <alignment horizontal="center" vertical="center"/>
    </xf>
    <xf numFmtId="44" fontId="26" fillId="0" borderId="54" xfId="0" applyNumberFormat="1" applyFont="1" applyFill="1" applyBorder="1" applyAlignment="1">
      <alignment horizontal="center" vertical="center"/>
    </xf>
    <xf numFmtId="0" fontId="26" fillId="0" borderId="43" xfId="0" applyFont="1" applyFill="1" applyBorder="1" applyAlignment="1">
      <alignment horizontal="center" vertical="center"/>
    </xf>
    <xf numFmtId="0" fontId="26" fillId="0" borderId="60" xfId="0" applyFont="1" applyFill="1" applyBorder="1" applyAlignment="1">
      <alignment horizontal="center" vertical="center"/>
    </xf>
    <xf numFmtId="44" fontId="26" fillId="34" borderId="1" xfId="0" applyNumberFormat="1" applyFont="1" applyFill="1" applyBorder="1" applyAlignment="1">
      <alignment horizontal="center" vertical="center"/>
    </xf>
    <xf numFmtId="0" fontId="8" fillId="0" borderId="1" xfId="0" applyFont="1" applyFill="1" applyBorder="1" applyAlignment="1">
      <alignment horizontal="left" vertical="center" wrapText="1"/>
    </xf>
    <xf numFmtId="0" fontId="29" fillId="0" borderId="1" xfId="0" applyFont="1" applyFill="1" applyBorder="1" applyAlignment="1">
      <alignment horizontal="left" vertical="center"/>
    </xf>
    <xf numFmtId="0" fontId="22" fillId="0" borderId="1" xfId="0" applyFont="1" applyFill="1" applyBorder="1" applyAlignment="1">
      <alignment horizontal="left" vertical="center"/>
    </xf>
    <xf numFmtId="10" fontId="18" fillId="0" borderId="1" xfId="11" applyNumberFormat="1" applyFont="1" applyBorder="1" applyAlignment="1">
      <alignment horizontal="center" vertical="center"/>
    </xf>
    <xf numFmtId="0" fontId="22" fillId="0" borderId="36" xfId="0" applyFont="1" applyBorder="1" applyAlignment="1">
      <alignment horizontal="center" vertical="center" wrapText="1"/>
    </xf>
    <xf numFmtId="0" fontId="22" fillId="0" borderId="18" xfId="0" applyFont="1" applyBorder="1" applyAlignment="1">
      <alignment horizontal="center" vertical="center" wrapText="1"/>
    </xf>
    <xf numFmtId="165" fontId="18" fillId="0" borderId="56" xfId="0" applyNumberFormat="1" applyFont="1" applyFill="1" applyBorder="1" applyAlignment="1">
      <alignment horizontal="center" vertical="center" wrapText="1"/>
    </xf>
    <xf numFmtId="165" fontId="18" fillId="0" borderId="34" xfId="0" applyNumberFormat="1" applyFont="1" applyFill="1" applyBorder="1" applyAlignment="1">
      <alignment horizontal="center" vertical="center" wrapText="1"/>
    </xf>
    <xf numFmtId="4" fontId="18" fillId="0" borderId="1" xfId="0" applyNumberFormat="1" applyFont="1" applyFill="1" applyBorder="1" applyAlignment="1">
      <alignment horizontal="center" vertical="center" wrapText="1"/>
    </xf>
    <xf numFmtId="0" fontId="22" fillId="0" borderId="33" xfId="0" applyFont="1" applyBorder="1" applyAlignment="1">
      <alignment horizontal="center" vertical="center" wrapText="1"/>
    </xf>
    <xf numFmtId="10" fontId="78" fillId="0" borderId="48" xfId="13" applyNumberFormat="1" applyFont="1" applyBorder="1" applyAlignment="1">
      <alignment horizontal="center" vertical="center" wrapText="1"/>
    </xf>
    <xf numFmtId="10" fontId="78" fillId="0" borderId="35" xfId="13" applyNumberFormat="1" applyFont="1" applyBorder="1" applyAlignment="1">
      <alignment horizontal="center" vertical="center" wrapText="1"/>
    </xf>
    <xf numFmtId="10" fontId="78" fillId="0" borderId="21" xfId="13" applyNumberFormat="1" applyFont="1" applyBorder="1" applyAlignment="1">
      <alignment horizontal="center" vertical="center" wrapText="1"/>
    </xf>
    <xf numFmtId="165" fontId="18" fillId="0" borderId="38" xfId="0" applyNumberFormat="1" applyFont="1" applyFill="1" applyBorder="1" applyAlignment="1">
      <alignment horizontal="center" vertical="center" wrapText="1"/>
    </xf>
    <xf numFmtId="0" fontId="22" fillId="0" borderId="0" xfId="0" applyFont="1" applyFill="1" applyBorder="1" applyAlignment="1">
      <alignment horizontal="right" vertical="center" wrapText="1"/>
    </xf>
    <xf numFmtId="10" fontId="59" fillId="0" borderId="37" xfId="13" applyNumberFormat="1" applyFont="1" applyFill="1" applyBorder="1" applyAlignment="1">
      <alignment horizontal="center" vertical="center"/>
    </xf>
    <xf numFmtId="10" fontId="59" fillId="0" borderId="65" xfId="13" applyNumberFormat="1" applyFont="1" applyFill="1" applyBorder="1" applyAlignment="1">
      <alignment horizontal="center" vertical="center"/>
    </xf>
    <xf numFmtId="0" fontId="76" fillId="4" borderId="14" xfId="0" applyFont="1" applyFill="1" applyBorder="1" applyAlignment="1">
      <alignment horizontal="center" vertical="center"/>
    </xf>
    <xf numFmtId="0" fontId="76" fillId="4" borderId="55" xfId="0" applyFont="1" applyFill="1" applyBorder="1" applyAlignment="1">
      <alignment horizontal="center" vertical="center"/>
    </xf>
    <xf numFmtId="0" fontId="76" fillId="4" borderId="8" xfId="0" applyFont="1" applyFill="1" applyBorder="1" applyAlignment="1">
      <alignment horizontal="center" vertical="center"/>
    </xf>
    <xf numFmtId="0" fontId="76" fillId="5" borderId="63" xfId="0" applyFont="1" applyFill="1" applyBorder="1" applyAlignment="1">
      <alignment horizontal="center" vertical="center"/>
    </xf>
    <xf numFmtId="0" fontId="76" fillId="5" borderId="66" xfId="0" applyFont="1" applyFill="1" applyBorder="1" applyAlignment="1">
      <alignment horizontal="center" vertical="center"/>
    </xf>
    <xf numFmtId="0" fontId="76" fillId="5" borderId="67" xfId="0" applyFont="1" applyFill="1" applyBorder="1" applyAlignment="1">
      <alignment horizontal="center" vertical="center"/>
    </xf>
    <xf numFmtId="0" fontId="76" fillId="5" borderId="64" xfId="0" applyFont="1" applyFill="1" applyBorder="1" applyAlignment="1">
      <alignment horizontal="center" vertical="center"/>
    </xf>
    <xf numFmtId="0" fontId="76" fillId="5" borderId="68" xfId="0" applyFont="1" applyFill="1" applyBorder="1" applyAlignment="1">
      <alignment horizontal="center" vertical="center"/>
    </xf>
    <xf numFmtId="0" fontId="48" fillId="0" borderId="7" xfId="0" applyFont="1" applyBorder="1" applyAlignment="1">
      <alignment horizontal="center" vertical="top" wrapText="1"/>
    </xf>
    <xf numFmtId="0" fontId="48" fillId="0" borderId="27" xfId="0" applyFont="1" applyBorder="1" applyAlignment="1">
      <alignment horizontal="center" vertical="top" wrapText="1"/>
    </xf>
    <xf numFmtId="0" fontId="74" fillId="0" borderId="0" xfId="0" applyFont="1" applyBorder="1" applyAlignment="1">
      <alignment horizontal="center" vertical="center" wrapText="1"/>
    </xf>
    <xf numFmtId="0" fontId="22" fillId="0" borderId="35" xfId="0" applyFont="1" applyFill="1" applyBorder="1" applyAlignment="1">
      <alignment horizontal="right" vertical="center" wrapText="1"/>
    </xf>
    <xf numFmtId="0" fontId="22" fillId="0" borderId="0" xfId="0" applyFont="1" applyBorder="1" applyAlignment="1">
      <alignment horizontal="right" vertical="center" wrapText="1"/>
    </xf>
    <xf numFmtId="1" fontId="18" fillId="0" borderId="63" xfId="0" applyNumberFormat="1" applyFont="1" applyFill="1" applyBorder="1" applyAlignment="1">
      <alignment horizontal="center" vertical="center" wrapText="1"/>
    </xf>
    <xf numFmtId="1" fontId="18" fillId="0" borderId="64" xfId="0" applyNumberFormat="1" applyFont="1" applyFill="1" applyBorder="1" applyAlignment="1">
      <alignment horizontal="center" vertical="center" wrapText="1"/>
    </xf>
    <xf numFmtId="0" fontId="22" fillId="24" borderId="0" xfId="0" applyFont="1" applyFill="1" applyBorder="1" applyAlignment="1">
      <alignment horizontal="right" vertical="center" wrapText="1"/>
    </xf>
    <xf numFmtId="0" fontId="22" fillId="24" borderId="35" xfId="0" applyFont="1" applyFill="1" applyBorder="1" applyAlignment="1">
      <alignment horizontal="right" vertical="center" wrapText="1"/>
    </xf>
    <xf numFmtId="10" fontId="18" fillId="0" borderId="20" xfId="0" applyNumberFormat="1" applyFont="1" applyFill="1" applyBorder="1" applyAlignment="1">
      <alignment horizontal="center" vertical="center"/>
    </xf>
    <xf numFmtId="10" fontId="18" fillId="0" borderId="46" xfId="0" applyNumberFormat="1" applyFont="1" applyFill="1" applyBorder="1" applyAlignment="1">
      <alignment horizontal="center" vertical="center"/>
    </xf>
  </cellXfs>
  <cellStyles count="15">
    <cellStyle name="Excel Built-in Normal" xfId="9"/>
    <cellStyle name="Milliers" xfId="12" builtinId="3"/>
    <cellStyle name="Milliers 2" xfId="2"/>
    <cellStyle name="Monétaire" xfId="11" builtinId="4"/>
    <cellStyle name="Normal" xfId="0" builtinId="0"/>
    <cellStyle name="Normal 2" xfId="1"/>
    <cellStyle name="Normal 2 2" xfId="8"/>
    <cellStyle name="Normal 3" xfId="3"/>
    <cellStyle name="Normal 3 2" xfId="6"/>
    <cellStyle name="Normal 3 3" xfId="10"/>
    <cellStyle name="Normal 4" xfId="5"/>
    <cellStyle name="Normal 4 2" xfId="7"/>
    <cellStyle name="Normal 5" xfId="14"/>
    <cellStyle name="Pourcentage" xfId="13" builtinId="5"/>
    <cellStyle name="Pourcentage 2" xfId="4"/>
  </cellStyles>
  <dxfs count="85">
    <dxf>
      <font>
        <color rgb="FF9C0006"/>
      </font>
      <fill>
        <patternFill>
          <bgColor rgb="FFFFC7CE"/>
        </patternFill>
      </fill>
    </dxf>
    <dxf>
      <font>
        <b/>
        <i val="0"/>
      </font>
    </dxf>
    <dxf>
      <font>
        <b val="0"/>
        <i/>
      </font>
    </dxf>
    <dxf>
      <font>
        <b/>
        <i val="0"/>
      </font>
    </dxf>
    <dxf>
      <font>
        <b val="0"/>
        <i/>
      </font>
    </dxf>
    <dxf>
      <font>
        <b/>
        <i val="0"/>
      </font>
    </dxf>
    <dxf>
      <font>
        <b val="0"/>
        <i/>
      </font>
    </dxf>
    <dxf>
      <font>
        <b/>
        <i val="0"/>
      </font>
    </dxf>
    <dxf>
      <font>
        <b val="0"/>
        <i/>
      </font>
    </dxf>
    <dxf>
      <font>
        <b/>
        <i val="0"/>
      </font>
    </dxf>
    <dxf>
      <font>
        <b val="0"/>
        <i/>
      </font>
    </dxf>
    <dxf>
      <font>
        <b val="0"/>
        <i/>
      </font>
    </dxf>
    <dxf>
      <font>
        <b/>
        <i val="0"/>
      </font>
    </dxf>
    <dxf>
      <font>
        <b/>
        <i val="0"/>
      </font>
    </dxf>
    <dxf>
      <font>
        <b val="0"/>
        <i/>
      </font>
    </dxf>
    <dxf>
      <font>
        <b/>
        <i val="0"/>
      </font>
    </dxf>
    <dxf>
      <font>
        <b val="0"/>
        <i/>
      </font>
    </dxf>
    <dxf>
      <font>
        <b val="0"/>
        <i/>
      </font>
    </dxf>
    <dxf>
      <font>
        <b/>
        <i val="0"/>
      </font>
    </dxf>
    <dxf>
      <font>
        <b/>
        <i val="0"/>
      </font>
    </dxf>
    <dxf>
      <font>
        <b val="0"/>
        <i/>
      </font>
    </dxf>
    <dxf>
      <font>
        <b val="0"/>
        <i/>
      </font>
    </dxf>
    <dxf>
      <font>
        <b/>
        <i val="0"/>
      </font>
    </dxf>
    <dxf>
      <font>
        <b/>
        <i val="0"/>
      </font>
    </dxf>
    <dxf>
      <font>
        <b val="0"/>
        <i/>
      </font>
    </dxf>
    <dxf>
      <font>
        <b/>
        <i val="0"/>
      </font>
    </dxf>
    <dxf>
      <font>
        <b val="0"/>
        <i/>
      </font>
    </dxf>
    <dxf>
      <font>
        <b/>
        <i val="0"/>
      </font>
    </dxf>
    <dxf>
      <font>
        <b val="0"/>
        <i/>
      </font>
    </dxf>
    <dxf>
      <font>
        <b/>
        <i val="0"/>
      </font>
    </dxf>
    <dxf>
      <font>
        <b val="0"/>
        <i/>
      </font>
    </dxf>
    <dxf>
      <font>
        <b/>
        <i val="0"/>
      </font>
    </dxf>
    <dxf>
      <font>
        <b val="0"/>
        <i/>
      </font>
    </dxf>
    <dxf>
      <font>
        <b/>
        <i val="0"/>
      </font>
    </dxf>
    <dxf>
      <font>
        <b val="0"/>
        <i/>
      </font>
    </dxf>
    <dxf>
      <font>
        <strike val="0"/>
        <color theme="0" tint="-0.14996795556505021"/>
      </font>
    </dxf>
    <dxf>
      <font>
        <b/>
        <i val="0"/>
        <color rgb="FFFF0000"/>
      </font>
    </dxf>
    <dxf>
      <font>
        <b val="0"/>
        <i val="0"/>
        <strike val="0"/>
        <condense val="0"/>
        <extend val="0"/>
        <outline val="0"/>
        <shadow val="0"/>
        <u val="none"/>
        <vertAlign val="baseline"/>
        <sz val="11"/>
        <color theme="1"/>
        <name val="Arial"/>
        <scheme val="none"/>
      </font>
      <alignment horizontal="general" vertical="center" textRotation="0" wrapText="1" indent="0" justifyLastLine="0" shrinkToFit="0" readingOrder="0"/>
      <protection locked="1" hidden="0"/>
    </dxf>
    <dxf>
      <font>
        <strike val="0"/>
        <outline val="0"/>
        <shadow val="0"/>
        <u val="none"/>
        <vertAlign val="baseline"/>
        <sz val="11"/>
        <name val="Arial"/>
        <scheme val="none"/>
      </font>
      <alignment horizontal="general" vertical="center" textRotation="0" wrapText="1" indent="0" justifyLastLine="0" shrinkToFit="0" readingOrder="0"/>
      <protection locked="1" hidden="0"/>
    </dxf>
    <dxf>
      <border outline="0">
        <top style="medium">
          <color indexed="64"/>
        </top>
      </border>
    </dxf>
    <dxf>
      <font>
        <strike val="0"/>
        <outline val="0"/>
        <shadow val="0"/>
        <u val="none"/>
        <vertAlign val="baseline"/>
        <sz val="11"/>
        <name val="Arial"/>
        <scheme val="none"/>
      </font>
      <protection locked="1" hidden="0"/>
    </dxf>
    <dxf>
      <border outline="0">
        <bottom style="medium">
          <color indexed="64"/>
        </bottom>
      </border>
    </dxf>
    <dxf>
      <font>
        <strike val="0"/>
        <outline val="0"/>
        <shadow val="0"/>
        <u val="none"/>
        <vertAlign val="baseline"/>
        <sz val="11"/>
        <name val="Arial"/>
        <scheme val="none"/>
      </font>
      <fill>
        <patternFill patternType="none">
          <fgColor indexed="64"/>
          <bgColor auto="1"/>
        </patternFill>
      </fill>
      <protection locked="1" hidden="0"/>
    </dxf>
    <dxf>
      <font>
        <b val="0"/>
        <i val="0"/>
        <strike val="0"/>
        <condense val="0"/>
        <extend val="0"/>
        <outline val="0"/>
        <shadow val="0"/>
        <u val="none"/>
        <vertAlign val="baseline"/>
        <sz val="11"/>
        <color theme="1"/>
        <name val="Arial"/>
        <scheme val="none"/>
      </font>
      <alignment horizontal="general" vertical="center" textRotation="0" wrapText="1" indent="0" justifyLastLine="0" shrinkToFit="0" readingOrder="0"/>
      <protection locked="1" hidden="0"/>
    </dxf>
    <dxf>
      <font>
        <strike val="0"/>
        <outline val="0"/>
        <shadow val="0"/>
        <u val="none"/>
        <vertAlign val="baseline"/>
        <sz val="11"/>
        <name val="Arial"/>
        <scheme val="none"/>
      </font>
      <alignment horizontal="center" vertical="center" textRotation="0" wrapText="1" indent="0" justifyLastLine="0" shrinkToFit="0" readingOrder="0"/>
      <protection locked="1" hidden="0"/>
    </dxf>
    <dxf>
      <border outline="0">
        <top style="medium">
          <color indexed="64"/>
        </top>
      </border>
    </dxf>
    <dxf>
      <font>
        <strike val="0"/>
        <outline val="0"/>
        <shadow val="0"/>
        <u val="none"/>
        <vertAlign val="baseline"/>
        <sz val="11"/>
        <name val="Arial"/>
        <scheme val="none"/>
      </font>
      <protection locked="1" hidden="0"/>
    </dxf>
    <dxf>
      <border outline="0">
        <bottom style="medium">
          <color indexed="64"/>
        </bottom>
      </border>
    </dxf>
    <dxf>
      <font>
        <strike val="0"/>
        <outline val="0"/>
        <shadow val="0"/>
        <u val="none"/>
        <vertAlign val="baseline"/>
        <sz val="11"/>
        <name val="Arial"/>
        <scheme val="none"/>
      </font>
      <fill>
        <patternFill patternType="none">
          <fgColor indexed="64"/>
          <bgColor auto="1"/>
        </patternFill>
      </fill>
      <protection locked="1" hidden="0"/>
    </dxf>
    <dxf>
      <font>
        <strike val="0"/>
        <outline val="0"/>
        <shadow val="0"/>
        <u val="none"/>
        <vertAlign val="baseline"/>
        <sz val="11"/>
        <name val="Arial"/>
        <scheme val="none"/>
      </font>
      <alignment horizontal="center" vertical="center" textRotation="0" wrapText="1" indent="0" justifyLastLine="0" shrinkToFit="0" readingOrder="0"/>
      <border diagonalUp="0" diagonalDown="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alignment horizontal="center" vertical="center" textRotation="0" wrapText="1" indent="0" justifyLastLine="0" shrinkToFit="0" readingOrder="0"/>
      <protection locked="1" hidden="0"/>
    </dxf>
    <dxf>
      <border outline="0">
        <bottom style="thin">
          <color indexed="64"/>
        </bottom>
      </border>
    </dxf>
    <dxf>
      <font>
        <strike val="0"/>
        <outline val="0"/>
        <shadow val="0"/>
        <u val="none"/>
        <vertAlign val="baseline"/>
        <sz val="11"/>
        <name val="Arial"/>
        <scheme val="none"/>
      </font>
      <alignment horizontal="center" vertical="center" textRotation="0" wrapText="1" indent="0" justifyLastLine="0" shrinkToFit="0" readingOrder="0"/>
      <protection locked="1" hidden="0"/>
    </dxf>
    <dxf>
      <font>
        <strike val="0"/>
        <outline val="0"/>
        <shadow val="0"/>
        <u val="none"/>
        <vertAlign val="baseline"/>
        <sz val="12"/>
        <color theme="1"/>
        <name val="Arial"/>
        <scheme val="none"/>
      </font>
      <alignment horizontal="center" vertical="center" textRotation="0" wrapText="1" indent="0" justifyLastLine="0" shrinkToFit="0" readingOrder="0"/>
      <border diagonalUp="0" diagonalDown="0">
        <left/>
        <right/>
        <top style="thin">
          <color indexed="64"/>
        </top>
        <bottom style="thin">
          <color indexed="64"/>
        </bottom>
      </border>
      <protection locked="1" hidden="0"/>
    </dxf>
    <dxf>
      <font>
        <strike val="0"/>
        <outline val="0"/>
        <shadow val="0"/>
        <u val="none"/>
        <vertAlign val="baseline"/>
        <sz val="11"/>
        <name val="Arial"/>
        <scheme val="none"/>
      </font>
      <alignment horizontal="center" vertical="center" textRotation="0" wrapText="1" indent="0" justifyLastLine="0" shrinkToFit="0" readingOrder="0"/>
      <border diagonalUp="0" diagonalDown="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alignment horizontal="center" vertical="center" textRotation="0" wrapText="1" indent="0" justifyLastLine="0" shrinkToFit="0" readingOrder="0"/>
      <protection locked="1" hidden="0"/>
    </dxf>
    <dxf>
      <border outline="0">
        <bottom style="thin">
          <color indexed="64"/>
        </bottom>
      </border>
    </dxf>
    <dxf>
      <font>
        <strike val="0"/>
        <outline val="0"/>
        <shadow val="0"/>
        <u val="none"/>
        <vertAlign val="baseline"/>
        <sz val="11"/>
        <name val="Arial"/>
        <scheme val="none"/>
      </font>
      <alignment horizontal="center" vertical="center" textRotation="0" wrapText="1" indent="0" justifyLastLine="0" shrinkToFit="0" readingOrder="0"/>
      <protection locked="1" hidden="0"/>
    </dxf>
    <dxf>
      <font>
        <strike val="0"/>
        <outline val="0"/>
        <shadow val="0"/>
        <u val="none"/>
        <vertAlign val="baseline"/>
        <sz val="11"/>
        <color theme="1"/>
        <name val="Arial"/>
        <scheme val="none"/>
      </font>
      <fill>
        <patternFill patternType="none">
          <fgColor indexed="64"/>
          <bgColor auto="1"/>
        </patternFill>
      </fill>
      <alignment horizontal="general" vertical="center" textRotation="0" wrapText="1" indent="0" justifyLastLine="0" shrinkToFit="0" readingOrder="0"/>
      <protection locked="1" hidden="0"/>
    </dxf>
    <dxf>
      <font>
        <strike val="0"/>
        <outline val="0"/>
        <shadow val="0"/>
        <u val="none"/>
        <vertAlign val="baseline"/>
        <sz val="11"/>
        <name val="Arial"/>
        <scheme val="none"/>
      </font>
      <alignment horizontal="general" vertical="center" textRotation="0" wrapText="1" indent="0" justifyLastLine="0" shrinkToFit="0" readingOrder="0"/>
      <border>
        <right style="thin">
          <color indexed="64"/>
        </right>
      </border>
      <protection locked="1" hidden="0"/>
    </dxf>
    <dxf>
      <font>
        <strike val="0"/>
        <outline val="0"/>
        <shadow val="0"/>
        <u val="none"/>
        <vertAlign val="baseline"/>
        <sz val="11"/>
        <name val="Arial"/>
        <scheme val="none"/>
      </font>
      <alignment horizontal="general" vertical="center" textRotation="0" wrapText="1" indent="0" justifyLastLine="0" shrinkToFit="0" readingOrder="0"/>
      <protection locked="1" hidden="0"/>
    </dxf>
    <dxf>
      <font>
        <strike val="0"/>
        <outline val="0"/>
        <shadow val="0"/>
        <u val="none"/>
        <vertAlign val="baseline"/>
        <sz val="11"/>
        <name val="Arial"/>
        <scheme val="none"/>
      </font>
      <alignment horizontal="general" vertical="center" textRotation="0" wrapText="1" indent="0" justifyLastLine="0" shrinkToFit="0" readingOrder="0"/>
      <protection locked="1" hidden="0"/>
    </dxf>
    <dxf>
      <font>
        <b val="0"/>
        <i val="0"/>
        <strike val="0"/>
        <condense val="0"/>
        <extend val="0"/>
        <outline val="0"/>
        <shadow val="0"/>
        <u val="none"/>
        <vertAlign val="baseline"/>
        <sz val="11"/>
        <color auto="1"/>
        <name val="Marianne"/>
        <scheme val="none"/>
      </font>
      <fill>
        <patternFill patternType="solid">
          <fgColor theme="4" tint="0.79998168889431442"/>
          <bgColor theme="4" tint="0.59999389629810485"/>
        </patternFill>
      </fill>
      <alignment horizontal="general"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auto="1"/>
        <name val="Marianne"/>
        <scheme val="none"/>
      </font>
      <numFmt numFmtId="1" formatCode="0"/>
      <fill>
        <patternFill patternType="solid">
          <fgColor theme="4" tint="0.79998168889431442"/>
          <bgColor theme="4" tint="0.5999938962981048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auto="1"/>
        <name val="Marianne"/>
        <scheme val="none"/>
      </font>
      <numFmt numFmtId="30" formatCode="@"/>
      <fill>
        <patternFill patternType="solid">
          <fgColor theme="4" tint="0.79998168889431442"/>
          <bgColor theme="4" tint="0.5999938962981048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auto="1"/>
        <name val="Marianne"/>
        <scheme val="none"/>
      </font>
      <fill>
        <patternFill patternType="solid">
          <fgColor theme="4" tint="0.79998168889431442"/>
          <bgColor theme="4" tint="0.59999389629810485"/>
        </patternFill>
      </fill>
      <alignment horizontal="general"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1" hidden="0"/>
    </dxf>
    <dxf>
      <border>
        <top style="thin">
          <color indexed="64"/>
        </top>
      </border>
    </dxf>
    <dxf>
      <border diagonalUp="0" diagonalDown="0">
        <left style="thin">
          <color indexed="64"/>
        </left>
        <right style="thin">
          <color indexed="64"/>
        </right>
        <top style="thin">
          <color indexed="64"/>
        </top>
        <bottom style="thin">
          <color indexed="64"/>
        </bottom>
      </border>
    </dxf>
    <dxf>
      <protection locked="1" hidden="0"/>
    </dxf>
    <dxf>
      <border outline="0">
        <bottom style="medium">
          <color indexed="64"/>
        </bottom>
      </border>
    </dxf>
    <dxf>
      <protection locked="1" hidden="0"/>
    </dxf>
    <dxf>
      <font>
        <strike val="0"/>
        <outline val="0"/>
        <shadow val="0"/>
        <u val="none"/>
        <vertAlign val="baseline"/>
        <sz val="11"/>
        <name val="Arial"/>
        <scheme val="none"/>
      </font>
      <alignment horizontal="general" vertical="center" textRotation="0" wrapText="1" indent="0" justifyLastLine="0" shrinkToFit="0" readingOrder="0"/>
      <protection locked="1" hidden="0"/>
    </dxf>
    <dxf>
      <font>
        <strike val="0"/>
        <outline val="0"/>
        <shadow val="0"/>
        <u val="none"/>
        <vertAlign val="baseline"/>
        <sz val="11"/>
        <name val="Arial"/>
        <scheme val="none"/>
      </font>
      <alignment horizontal="general" vertical="center" textRotation="0" wrapText="1" indent="0" justifyLastLine="0" shrinkToFit="0" readingOrder="0"/>
      <protection locked="1" hidden="0"/>
    </dxf>
    <dxf>
      <font>
        <strike val="0"/>
        <outline val="0"/>
        <shadow val="0"/>
        <u val="none"/>
        <vertAlign val="baseline"/>
        <sz val="11"/>
        <name val="Arial"/>
        <scheme val="none"/>
      </font>
      <alignment horizontal="general" vertical="center" textRotation="0" wrapText="1" indent="0" justifyLastLine="0" shrinkToFit="0" readingOrder="0"/>
      <protection locked="1" hidden="0"/>
    </dxf>
    <dxf>
      <font>
        <strike val="0"/>
        <outline val="0"/>
        <shadow val="0"/>
        <u val="none"/>
        <vertAlign val="baseline"/>
        <sz val="11"/>
        <name val="Arial"/>
        <scheme val="none"/>
      </font>
      <alignment horizontal="general" vertical="center" textRotation="0" wrapText="1" indent="0" justifyLastLine="0" shrinkToFit="0" readingOrder="0"/>
      <protection locked="1" hidden="0"/>
    </dxf>
    <dxf>
      <font>
        <strike val="0"/>
        <outline val="0"/>
        <shadow val="0"/>
        <u val="none"/>
        <vertAlign val="baseline"/>
        <sz val="11"/>
        <name val="Arial"/>
        <scheme val="none"/>
      </font>
      <alignment horizontal="general" vertical="center" textRotation="0" wrapText="1" indent="0" justifyLastLine="0" shrinkToFit="0" readingOrder="0"/>
      <protection locked="1" hidden="0"/>
    </dxf>
    <dxf>
      <font>
        <strike val="0"/>
        <outline val="0"/>
        <shadow val="0"/>
        <u val="none"/>
        <vertAlign val="baseline"/>
        <sz val="11"/>
        <name val="Arial"/>
        <scheme val="none"/>
      </font>
      <alignment horizontal="general" vertical="center" textRotation="0" wrapText="1" indent="0" justifyLastLine="0" shrinkToFit="0" readingOrder="0"/>
      <protection locked="1" hidden="0"/>
    </dxf>
    <dxf>
      <font>
        <strike val="0"/>
        <outline val="0"/>
        <shadow val="0"/>
        <u val="none"/>
        <vertAlign val="baseline"/>
        <sz val="11"/>
        <name val="Arial"/>
        <scheme val="none"/>
      </font>
      <fill>
        <patternFill patternType="none">
          <fgColor indexed="64"/>
          <bgColor auto="1"/>
        </patternFill>
      </fill>
      <alignment horizontal="general" vertical="center" textRotation="0" wrapText="1" indent="0" justifyLastLine="0" shrinkToFit="0" readingOrder="0"/>
      <protection locked="1" hidden="0"/>
    </dxf>
    <dxf>
      <border outline="0">
        <bottom style="thin">
          <color rgb="FF000000"/>
        </bottom>
      </border>
    </dxf>
    <dxf>
      <font>
        <strike val="0"/>
        <outline val="0"/>
        <shadow val="0"/>
        <u val="none"/>
        <vertAlign val="baseline"/>
        <sz val="11"/>
        <name val="Arial"/>
        <scheme val="none"/>
      </font>
      <fill>
        <patternFill patternType="none">
          <fgColor indexed="64"/>
          <bgColor auto="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1"/>
        <color theme="1"/>
        <name val="Arial"/>
        <scheme val="none"/>
      </font>
      <alignment horizontal="general" vertical="center" textRotation="0" wrapText="1" indent="0" justifyLastLine="0" shrinkToFit="0" readingOrder="0"/>
      <protection locked="1" hidden="0"/>
    </dxf>
  </dxfs>
  <tableStyles count="0" defaultTableStyle="TableStyleMedium2" defaultPivotStyle="PivotStyleLight16"/>
  <colors>
    <mruColors>
      <color rgb="FF0000FF"/>
      <color rgb="FFFFFF99"/>
      <color rgb="FFD9D9D9"/>
      <color rgb="FFCCFFCC"/>
      <color rgb="FFFDE9D9"/>
      <color rgb="FFEEECE1"/>
      <color rgb="FF92D050"/>
      <color rgb="FFFF0000"/>
      <color rgb="FF33CC33"/>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jp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6381751</xdr:colOff>
      <xdr:row>80</xdr:row>
      <xdr:rowOff>105834</xdr:rowOff>
    </xdr:from>
    <xdr:to>
      <xdr:col>1</xdr:col>
      <xdr:colOff>6942667</xdr:colOff>
      <xdr:row>80</xdr:row>
      <xdr:rowOff>338667</xdr:rowOff>
    </xdr:to>
    <xdr:sp macro="" textlink="">
      <xdr:nvSpPr>
        <xdr:cNvPr id="9" name="Flèche droite 8"/>
        <xdr:cNvSpPr/>
      </xdr:nvSpPr>
      <xdr:spPr>
        <a:xfrm rot="10800000">
          <a:off x="6858001" y="34694284"/>
          <a:ext cx="560916" cy="2328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14</xdr:col>
      <xdr:colOff>68885</xdr:colOff>
      <xdr:row>14</xdr:row>
      <xdr:rowOff>127001</xdr:rowOff>
    </xdr:from>
    <xdr:to>
      <xdr:col>16</xdr:col>
      <xdr:colOff>994975</xdr:colOff>
      <xdr:row>22</xdr:row>
      <xdr:rowOff>215900</xdr:rowOff>
    </xdr:to>
    <xdr:pic>
      <xdr:nvPicPr>
        <xdr:cNvPr id="10" name="Image 9"/>
        <xdr:cNvPicPr>
          <a:picLocks noChangeAspect="1"/>
        </xdr:cNvPicPr>
      </xdr:nvPicPr>
      <xdr:blipFill>
        <a:blip xmlns:r="http://schemas.openxmlformats.org/officeDocument/2006/relationships" r:embed="rId1"/>
        <a:stretch>
          <a:fillRect/>
        </a:stretch>
      </xdr:blipFill>
      <xdr:spPr>
        <a:xfrm>
          <a:off x="21747785" y="7200901"/>
          <a:ext cx="3110490" cy="3441699"/>
        </a:xfrm>
        <a:prstGeom prst="rect">
          <a:avLst/>
        </a:prstGeom>
      </xdr:spPr>
    </xdr:pic>
    <xdr:clientData/>
  </xdr:twoCellAnchor>
  <xdr:twoCellAnchor editAs="oneCell">
    <xdr:from>
      <xdr:col>26</xdr:col>
      <xdr:colOff>141568</xdr:colOff>
      <xdr:row>14</xdr:row>
      <xdr:rowOff>254001</xdr:rowOff>
    </xdr:from>
    <xdr:to>
      <xdr:col>28</xdr:col>
      <xdr:colOff>1085412</xdr:colOff>
      <xdr:row>23</xdr:row>
      <xdr:rowOff>1</xdr:rowOff>
    </xdr:to>
    <xdr:pic>
      <xdr:nvPicPr>
        <xdr:cNvPr id="11" name="Image 10"/>
        <xdr:cNvPicPr>
          <a:picLocks noChangeAspect="1"/>
        </xdr:cNvPicPr>
      </xdr:nvPicPr>
      <xdr:blipFill>
        <a:blip xmlns:r="http://schemas.openxmlformats.org/officeDocument/2006/relationships" r:embed="rId2"/>
        <a:stretch>
          <a:fillRect/>
        </a:stretch>
      </xdr:blipFill>
      <xdr:spPr>
        <a:xfrm>
          <a:off x="33847368" y="7327901"/>
          <a:ext cx="3134594" cy="3517900"/>
        </a:xfrm>
        <a:prstGeom prst="rect">
          <a:avLst/>
        </a:prstGeom>
      </xdr:spPr>
    </xdr:pic>
    <xdr:clientData/>
  </xdr:twoCellAnchor>
  <xdr:twoCellAnchor>
    <xdr:from>
      <xdr:col>6</xdr:col>
      <xdr:colOff>1066800</xdr:colOff>
      <xdr:row>22</xdr:row>
      <xdr:rowOff>203200</xdr:rowOff>
    </xdr:from>
    <xdr:to>
      <xdr:col>24</xdr:col>
      <xdr:colOff>546100</xdr:colOff>
      <xdr:row>30</xdr:row>
      <xdr:rowOff>330200</xdr:rowOff>
    </xdr:to>
    <xdr:sp macro="" textlink="">
      <xdr:nvSpPr>
        <xdr:cNvPr id="12" name="ZoneTexte 11"/>
        <xdr:cNvSpPr txBox="1"/>
      </xdr:nvSpPr>
      <xdr:spPr>
        <a:xfrm>
          <a:off x="14833600" y="10629900"/>
          <a:ext cx="17526000" cy="3479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5400">
              <a:solidFill>
                <a:srgbClr val="FF0000"/>
              </a:solidFill>
            </a:rPr>
            <a:t>Décision en CIM  = Pas</a:t>
          </a:r>
          <a:r>
            <a:rPr lang="fr-FR" sz="5400" baseline="0">
              <a:solidFill>
                <a:srgbClr val="FF0000"/>
              </a:solidFill>
            </a:rPr>
            <a:t> de prestations à la demande occasionnelle (y compris pour la vitrerie).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6223000</xdr:colOff>
      <xdr:row>35</xdr:row>
      <xdr:rowOff>116416</xdr:rowOff>
    </xdr:from>
    <xdr:to>
      <xdr:col>1</xdr:col>
      <xdr:colOff>6783916</xdr:colOff>
      <xdr:row>35</xdr:row>
      <xdr:rowOff>349249</xdr:rowOff>
    </xdr:to>
    <xdr:sp macro="" textlink="">
      <xdr:nvSpPr>
        <xdr:cNvPr id="2" name="Flèche droite 1"/>
        <xdr:cNvSpPr/>
      </xdr:nvSpPr>
      <xdr:spPr>
        <a:xfrm rot="10800000">
          <a:off x="6699250" y="14232466"/>
          <a:ext cx="560916" cy="2328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1087438</xdr:colOff>
      <xdr:row>26</xdr:row>
      <xdr:rowOff>23813</xdr:rowOff>
    </xdr:from>
    <xdr:to>
      <xdr:col>3</xdr:col>
      <xdr:colOff>448406</xdr:colOff>
      <xdr:row>28</xdr:row>
      <xdr:rowOff>77359</xdr:rowOff>
    </xdr:to>
    <xdr:sp macro="" textlink="">
      <xdr:nvSpPr>
        <xdr:cNvPr id="16" name="Flèche courbée vers le haut 15"/>
        <xdr:cNvSpPr/>
      </xdr:nvSpPr>
      <xdr:spPr>
        <a:xfrm>
          <a:off x="3430588" y="5656263"/>
          <a:ext cx="4504468" cy="688546"/>
        </a:xfrm>
        <a:prstGeom prst="curvedUpArrow">
          <a:avLst>
            <a:gd name="adj1" fmla="val 25000"/>
            <a:gd name="adj2" fmla="val 77720"/>
            <a:gd name="adj3" fmla="val 25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tx1"/>
            </a:solidFill>
          </a:endParaRPr>
        </a:p>
      </xdr:txBody>
    </xdr:sp>
    <xdr:clientData/>
  </xdr:twoCellAnchor>
  <xdr:twoCellAnchor>
    <xdr:from>
      <xdr:col>3</xdr:col>
      <xdr:colOff>1224643</xdr:colOff>
      <xdr:row>27</xdr:row>
      <xdr:rowOff>94116</xdr:rowOff>
    </xdr:from>
    <xdr:to>
      <xdr:col>4</xdr:col>
      <xdr:colOff>220864</xdr:colOff>
      <xdr:row>27</xdr:row>
      <xdr:rowOff>154730</xdr:rowOff>
    </xdr:to>
    <xdr:sp macro="" textlink="">
      <xdr:nvSpPr>
        <xdr:cNvPr id="17" name="Flèche droite 16"/>
        <xdr:cNvSpPr/>
      </xdr:nvSpPr>
      <xdr:spPr>
        <a:xfrm rot="10800000">
          <a:off x="8708572" y="5736545"/>
          <a:ext cx="447649" cy="6061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10</xdr:col>
      <xdr:colOff>212795</xdr:colOff>
      <xdr:row>24</xdr:row>
      <xdr:rowOff>92681</xdr:rowOff>
    </xdr:from>
    <xdr:to>
      <xdr:col>11</xdr:col>
      <xdr:colOff>72085</xdr:colOff>
      <xdr:row>24</xdr:row>
      <xdr:rowOff>185045</xdr:rowOff>
    </xdr:to>
    <xdr:sp macro="" textlink="">
      <xdr:nvSpPr>
        <xdr:cNvPr id="18" name="Flèche droite 17"/>
        <xdr:cNvSpPr/>
      </xdr:nvSpPr>
      <xdr:spPr>
        <a:xfrm rot="10800000">
          <a:off x="14786045" y="5090131"/>
          <a:ext cx="246640" cy="9236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10</xdr:col>
      <xdr:colOff>246238</xdr:colOff>
      <xdr:row>30</xdr:row>
      <xdr:rowOff>61203</xdr:rowOff>
    </xdr:from>
    <xdr:to>
      <xdr:col>11</xdr:col>
      <xdr:colOff>105528</xdr:colOff>
      <xdr:row>30</xdr:row>
      <xdr:rowOff>134517</xdr:rowOff>
    </xdr:to>
    <xdr:sp macro="" textlink="">
      <xdr:nvSpPr>
        <xdr:cNvPr id="19" name="Flèche droite 18"/>
        <xdr:cNvSpPr/>
      </xdr:nvSpPr>
      <xdr:spPr>
        <a:xfrm rot="10800000">
          <a:off x="14824024" y="6247917"/>
          <a:ext cx="249361" cy="7331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10</xdr:col>
      <xdr:colOff>257278</xdr:colOff>
      <xdr:row>36</xdr:row>
      <xdr:rowOff>73119</xdr:rowOff>
    </xdr:from>
    <xdr:to>
      <xdr:col>11</xdr:col>
      <xdr:colOff>116568</xdr:colOff>
      <xdr:row>36</xdr:row>
      <xdr:rowOff>146433</xdr:rowOff>
    </xdr:to>
    <xdr:sp macro="" textlink="">
      <xdr:nvSpPr>
        <xdr:cNvPr id="20" name="Flèche droite 19"/>
        <xdr:cNvSpPr/>
      </xdr:nvSpPr>
      <xdr:spPr>
        <a:xfrm rot="10800000">
          <a:off x="14835064" y="7375619"/>
          <a:ext cx="249361" cy="7331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1234722</xdr:colOff>
      <xdr:row>9</xdr:row>
      <xdr:rowOff>35279</xdr:rowOff>
    </xdr:from>
    <xdr:to>
      <xdr:col>4</xdr:col>
      <xdr:colOff>229179</xdr:colOff>
      <xdr:row>9</xdr:row>
      <xdr:rowOff>127643</xdr:rowOff>
    </xdr:to>
    <xdr:sp macro="" textlink="">
      <xdr:nvSpPr>
        <xdr:cNvPr id="21" name="Flèche droite 20"/>
        <xdr:cNvSpPr/>
      </xdr:nvSpPr>
      <xdr:spPr>
        <a:xfrm rot="10800000">
          <a:off x="8721372" y="2200629"/>
          <a:ext cx="442257" cy="9236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162278</xdr:colOff>
      <xdr:row>19</xdr:row>
      <xdr:rowOff>28222</xdr:rowOff>
    </xdr:from>
    <xdr:to>
      <xdr:col>2</xdr:col>
      <xdr:colOff>408341</xdr:colOff>
      <xdr:row>20</xdr:row>
      <xdr:rowOff>10583</xdr:rowOff>
    </xdr:to>
    <xdr:sp macro="" textlink="">
      <xdr:nvSpPr>
        <xdr:cNvPr id="22" name="Flèche droite 21"/>
        <xdr:cNvSpPr/>
      </xdr:nvSpPr>
      <xdr:spPr>
        <a:xfrm rot="10800000">
          <a:off x="3845278" y="3984272"/>
          <a:ext cx="246063" cy="16651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8</xdr:col>
      <xdr:colOff>498928</xdr:colOff>
      <xdr:row>21</xdr:row>
      <xdr:rowOff>117046</xdr:rowOff>
    </xdr:from>
    <xdr:to>
      <xdr:col>11</xdr:col>
      <xdr:colOff>540253</xdr:colOff>
      <xdr:row>24</xdr:row>
      <xdr:rowOff>36286</xdr:rowOff>
    </xdr:to>
    <xdr:sp macro="" textlink="">
      <xdr:nvSpPr>
        <xdr:cNvPr id="23" name="Flèche courbée vers le haut 22"/>
        <xdr:cNvSpPr/>
      </xdr:nvSpPr>
      <xdr:spPr>
        <a:xfrm flipV="1">
          <a:off x="12951278" y="4435046"/>
          <a:ext cx="2549575" cy="598690"/>
        </a:xfrm>
        <a:prstGeom prst="curvedUpArrow">
          <a:avLst>
            <a:gd name="adj1" fmla="val 25000"/>
            <a:gd name="adj2" fmla="val 77720"/>
            <a:gd name="adj3" fmla="val 25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tx1"/>
            </a:solidFill>
          </a:endParaRPr>
        </a:p>
      </xdr:txBody>
    </xdr:sp>
    <xdr:clientData/>
  </xdr:twoCellAnchor>
  <xdr:twoCellAnchor>
    <xdr:from>
      <xdr:col>12</xdr:col>
      <xdr:colOff>553357</xdr:colOff>
      <xdr:row>26</xdr:row>
      <xdr:rowOff>54427</xdr:rowOff>
    </xdr:from>
    <xdr:to>
      <xdr:col>20</xdr:col>
      <xdr:colOff>288100</xdr:colOff>
      <xdr:row>36</xdr:row>
      <xdr:rowOff>99784</xdr:rowOff>
    </xdr:to>
    <xdr:sp macro="" textlink="">
      <xdr:nvSpPr>
        <xdr:cNvPr id="11" name="ZoneTexte 10"/>
        <xdr:cNvSpPr txBox="1"/>
      </xdr:nvSpPr>
      <xdr:spPr>
        <a:xfrm>
          <a:off x="16936357" y="5515427"/>
          <a:ext cx="7436386" cy="1886857"/>
        </a:xfrm>
        <a:prstGeom prst="rect">
          <a:avLst/>
        </a:prstGeom>
        <a:solidFill>
          <a:schemeClr val="accent6">
            <a:lumMod val="60000"/>
            <a:lumOff val="40000"/>
          </a:schemeClr>
        </a:solidFill>
        <a:ln w="9525" cmpd="sng">
          <a:solidFill>
            <a:srgbClr val="FDE9D9"/>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2000" b="1"/>
            <a:t>Faire</a:t>
          </a:r>
          <a:r>
            <a:rPr lang="fr-FR" sz="2000" b="1" baseline="0"/>
            <a:t> simple : </a:t>
          </a:r>
        </a:p>
        <a:p>
          <a:endParaRPr lang="fr-FR" sz="2000" b="1" baseline="0"/>
        </a:p>
        <a:p>
          <a:r>
            <a:rPr lang="fr-FR" sz="2000" b="1" baseline="0"/>
            <a:t>estimation coût actuel avec les paramètres actualisés = montant de référence.</a:t>
          </a:r>
        </a:p>
        <a:p>
          <a:r>
            <a:rPr lang="fr-FR" sz="2000" b="1" baseline="0"/>
            <a:t>montant de référence - 1% = montant cible pour Alpha et Cimci.</a:t>
          </a:r>
          <a:endParaRPr lang="fr-FR" sz="20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48682</xdr:colOff>
      <xdr:row>5</xdr:row>
      <xdr:rowOff>19756</xdr:rowOff>
    </xdr:from>
    <xdr:to>
      <xdr:col>15</xdr:col>
      <xdr:colOff>6350</xdr:colOff>
      <xdr:row>5</xdr:row>
      <xdr:rowOff>212372</xdr:rowOff>
    </xdr:to>
    <xdr:sp macro="" textlink="">
      <xdr:nvSpPr>
        <xdr:cNvPr id="9" name="ZoneTexte 8"/>
        <xdr:cNvSpPr txBox="1"/>
      </xdr:nvSpPr>
      <xdr:spPr>
        <a:xfrm>
          <a:off x="12342282" y="1245306"/>
          <a:ext cx="1488018" cy="192616"/>
        </a:xfrm>
        <a:prstGeom prst="rect">
          <a:avLst/>
        </a:prstGeom>
        <a:noFill/>
        <a:ln w="412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800" b="1" baseline="0">
              <a:solidFill>
                <a:srgbClr val="FF0000"/>
              </a:solidFill>
            </a:rPr>
            <a:t>DÉMARCHE ET STRATÉGIE</a:t>
          </a:r>
          <a:endParaRPr lang="fr-FR" sz="800" b="1">
            <a:solidFill>
              <a:srgbClr val="FF0000"/>
            </a:solidFill>
          </a:endParaRPr>
        </a:p>
      </xdr:txBody>
    </xdr:sp>
    <xdr:clientData/>
  </xdr:twoCellAnchor>
  <xdr:twoCellAnchor>
    <xdr:from>
      <xdr:col>13</xdr:col>
      <xdr:colOff>177096</xdr:colOff>
      <xdr:row>4</xdr:row>
      <xdr:rowOff>2115</xdr:rowOff>
    </xdr:from>
    <xdr:to>
      <xdr:col>13</xdr:col>
      <xdr:colOff>1085852</xdr:colOff>
      <xdr:row>4</xdr:row>
      <xdr:rowOff>185559</xdr:rowOff>
    </xdr:to>
    <xdr:sp macro="" textlink="">
      <xdr:nvSpPr>
        <xdr:cNvPr id="10" name="ZoneTexte 9"/>
        <xdr:cNvSpPr txBox="1"/>
      </xdr:nvSpPr>
      <xdr:spPr>
        <a:xfrm>
          <a:off x="12527846" y="973665"/>
          <a:ext cx="908756" cy="183444"/>
        </a:xfrm>
        <a:prstGeom prst="rect">
          <a:avLst/>
        </a:prstGeom>
        <a:noFill/>
        <a:ln w="41275"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800" b="1" baseline="0">
              <a:solidFill>
                <a:srgbClr val="00B050"/>
              </a:solidFill>
            </a:rPr>
            <a:t>SAISIE LOT FDC</a:t>
          </a:r>
          <a:endParaRPr lang="fr-FR" sz="800" b="1">
            <a:solidFill>
              <a:srgbClr val="00B050"/>
            </a:solidFill>
          </a:endParaRPr>
        </a:p>
      </xdr:txBody>
    </xdr:sp>
    <xdr:clientData/>
  </xdr:twoCellAnchor>
  <xdr:twoCellAnchor>
    <xdr:from>
      <xdr:col>7</xdr:col>
      <xdr:colOff>1113366</xdr:colOff>
      <xdr:row>5</xdr:row>
      <xdr:rowOff>38805</xdr:rowOff>
    </xdr:from>
    <xdr:to>
      <xdr:col>11</xdr:col>
      <xdr:colOff>90311</xdr:colOff>
      <xdr:row>5</xdr:row>
      <xdr:rowOff>231421</xdr:rowOff>
    </xdr:to>
    <xdr:sp macro="" textlink="">
      <xdr:nvSpPr>
        <xdr:cNvPr id="11" name="ZoneTexte 10"/>
        <xdr:cNvSpPr txBox="1"/>
      </xdr:nvSpPr>
      <xdr:spPr>
        <a:xfrm>
          <a:off x="9596966" y="1264355"/>
          <a:ext cx="1548695" cy="192616"/>
        </a:xfrm>
        <a:prstGeom prst="rect">
          <a:avLst/>
        </a:prstGeom>
        <a:noFill/>
        <a:ln w="412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800" b="1" baseline="0">
              <a:solidFill>
                <a:srgbClr val="FF0000"/>
              </a:solidFill>
            </a:rPr>
            <a:t>DÉMARCHE ET STRATÉGIE</a:t>
          </a:r>
          <a:endParaRPr lang="fr-FR" sz="800" b="1">
            <a:solidFill>
              <a:srgbClr val="FF0000"/>
            </a:solidFill>
          </a:endParaRPr>
        </a:p>
      </xdr:txBody>
    </xdr:sp>
    <xdr:clientData/>
  </xdr:twoCellAnchor>
  <xdr:twoCellAnchor>
    <xdr:from>
      <xdr:col>6</xdr:col>
      <xdr:colOff>176391</xdr:colOff>
      <xdr:row>5</xdr:row>
      <xdr:rowOff>52916</xdr:rowOff>
    </xdr:from>
    <xdr:to>
      <xdr:col>6</xdr:col>
      <xdr:colOff>1085147</xdr:colOff>
      <xdr:row>5</xdr:row>
      <xdr:rowOff>238476</xdr:rowOff>
    </xdr:to>
    <xdr:sp macro="" textlink="">
      <xdr:nvSpPr>
        <xdr:cNvPr id="12" name="ZoneTexte 11"/>
        <xdr:cNvSpPr txBox="1"/>
      </xdr:nvSpPr>
      <xdr:spPr>
        <a:xfrm>
          <a:off x="7313791" y="1278466"/>
          <a:ext cx="908756" cy="185560"/>
        </a:xfrm>
        <a:prstGeom prst="rect">
          <a:avLst/>
        </a:prstGeom>
        <a:noFill/>
        <a:ln w="41275"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800" b="1" baseline="0">
              <a:solidFill>
                <a:srgbClr val="00B050"/>
              </a:solidFill>
            </a:rPr>
            <a:t>SAISIE LOT FDC</a:t>
          </a:r>
          <a:endParaRPr lang="fr-FR" sz="800" b="1">
            <a:solidFill>
              <a:srgbClr val="00B050"/>
            </a:solidFill>
          </a:endParaRPr>
        </a:p>
      </xdr:txBody>
    </xdr:sp>
    <xdr:clientData/>
  </xdr:twoCellAnchor>
  <xdr:twoCellAnchor editAs="oneCell">
    <xdr:from>
      <xdr:col>17</xdr:col>
      <xdr:colOff>88900</xdr:colOff>
      <xdr:row>2</xdr:row>
      <xdr:rowOff>83961</xdr:rowOff>
    </xdr:from>
    <xdr:to>
      <xdr:col>17</xdr:col>
      <xdr:colOff>769986</xdr:colOff>
      <xdr:row>5</xdr:row>
      <xdr:rowOff>263387</xdr:rowOff>
    </xdr:to>
    <xdr:pic>
      <xdr:nvPicPr>
        <xdr:cNvPr id="13" name="Image 12"/>
        <xdr:cNvPicPr>
          <a:picLocks noChangeAspect="1"/>
        </xdr:cNvPicPr>
      </xdr:nvPicPr>
      <xdr:blipFill>
        <a:blip xmlns:r="http://schemas.openxmlformats.org/officeDocument/2006/relationships" r:embed="rId1"/>
        <a:stretch>
          <a:fillRect/>
        </a:stretch>
      </xdr:blipFill>
      <xdr:spPr>
        <a:xfrm>
          <a:off x="15265400" y="471311"/>
          <a:ext cx="681086" cy="954126"/>
        </a:xfrm>
        <a:prstGeom prst="rect">
          <a:avLst/>
        </a:prstGeom>
        <a:ln w="15875">
          <a:solidFill>
            <a:srgbClr val="008000"/>
          </a:solidFill>
        </a:ln>
      </xdr:spPr>
    </xdr:pic>
    <xdr:clientData/>
  </xdr:twoCellAnchor>
  <xdr:twoCellAnchor editAs="oneCell">
    <xdr:from>
      <xdr:col>22</xdr:col>
      <xdr:colOff>434294</xdr:colOff>
      <xdr:row>7</xdr:row>
      <xdr:rowOff>306036</xdr:rowOff>
    </xdr:from>
    <xdr:to>
      <xdr:col>24</xdr:col>
      <xdr:colOff>154055</xdr:colOff>
      <xdr:row>9</xdr:row>
      <xdr:rowOff>450232</xdr:rowOff>
    </xdr:to>
    <xdr:pic>
      <xdr:nvPicPr>
        <xdr:cNvPr id="14" name="Image 1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2151294" y="1984250"/>
          <a:ext cx="971618" cy="1096696"/>
        </a:xfrm>
        <a:prstGeom prst="rect">
          <a:avLst/>
        </a:prstGeom>
      </xdr:spPr>
    </xdr:pic>
    <xdr:clientData/>
  </xdr:twoCellAnchor>
  <xdr:twoCellAnchor>
    <xdr:from>
      <xdr:col>3</xdr:col>
      <xdr:colOff>0</xdr:colOff>
      <xdr:row>24</xdr:row>
      <xdr:rowOff>0</xdr:rowOff>
    </xdr:from>
    <xdr:to>
      <xdr:col>24</xdr:col>
      <xdr:colOff>311830</xdr:colOff>
      <xdr:row>41</xdr:row>
      <xdr:rowOff>106592</xdr:rowOff>
    </xdr:to>
    <xdr:sp macro="" textlink="">
      <xdr:nvSpPr>
        <xdr:cNvPr id="15" name="ZoneTexte 14"/>
        <xdr:cNvSpPr txBox="1"/>
      </xdr:nvSpPr>
      <xdr:spPr>
        <a:xfrm>
          <a:off x="2667000" y="9742714"/>
          <a:ext cx="20613687" cy="3190878"/>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fr-FR" sz="2000" baseline="0">
              <a:solidFill>
                <a:srgbClr val="FF0000"/>
              </a:solidFill>
              <a:latin typeface="Arial" panose="020B0604020202020204" pitchFamily="34" charset="0"/>
              <a:ea typeface="+mn-ea"/>
              <a:cs typeface="Arial" panose="020B0604020202020204" pitchFamily="34" charset="0"/>
            </a:rPr>
            <a:t>Cet estimatif </a:t>
          </a:r>
          <a:r>
            <a:rPr lang="fr-FR" sz="2000" b="1" u="sng" baseline="0">
              <a:solidFill>
                <a:srgbClr val="FF0000"/>
              </a:solidFill>
              <a:latin typeface="Arial" panose="020B0604020202020204" pitchFamily="34" charset="0"/>
              <a:ea typeface="+mn-ea"/>
              <a:cs typeface="Arial" panose="020B0604020202020204" pitchFamily="34" charset="0"/>
            </a:rPr>
            <a:t>tient compte </a:t>
          </a:r>
          <a:r>
            <a:rPr lang="fr-FR" sz="2000" baseline="0">
              <a:solidFill>
                <a:srgbClr val="FF0000"/>
              </a:solidFill>
              <a:latin typeface="Arial" panose="020B0604020202020204" pitchFamily="34" charset="0"/>
              <a:ea typeface="+mn-ea"/>
              <a:cs typeface="Arial" panose="020B0604020202020204" pitchFamily="34" charset="0"/>
            </a:rPr>
            <a:t>:</a:t>
          </a:r>
        </a:p>
        <a:p>
          <a:pPr algn="l"/>
          <a:r>
            <a:rPr lang="fr-FR" sz="2000" baseline="0">
              <a:solidFill>
                <a:srgbClr val="FF0000"/>
              </a:solidFill>
              <a:latin typeface="Arial" panose="020B0604020202020204" pitchFamily="34" charset="0"/>
              <a:ea typeface="+mn-ea"/>
              <a:cs typeface="Arial" panose="020B0604020202020204" pitchFamily="34" charset="0"/>
            </a:rPr>
            <a:t>- de l'augmentation du SMIC qui "serait de 3% à partir de juillet 2025" ;</a:t>
          </a:r>
        </a:p>
        <a:p>
          <a:pPr algn="l"/>
          <a:r>
            <a:rPr lang="fr-FR" sz="2000" baseline="0">
              <a:solidFill>
                <a:srgbClr val="FF0000"/>
              </a:solidFill>
              <a:latin typeface="Arial" panose="020B0604020202020204" pitchFamily="34" charset="0"/>
              <a:ea typeface="+mn-ea"/>
              <a:cs typeface="Arial" panose="020B0604020202020204" pitchFamily="34" charset="0"/>
            </a:rPr>
            <a:t>- des négociations en cours avec les instances syndicales concernant les primes de fin d'année pour les agents de propreté.</a:t>
          </a:r>
        </a:p>
        <a:p>
          <a:pPr algn="l"/>
          <a:endParaRPr lang="fr-FR" sz="2000" baseline="0">
            <a:solidFill>
              <a:srgbClr val="FF0000"/>
            </a:solidFill>
            <a:latin typeface="Arial" panose="020B0604020202020204" pitchFamily="34" charset="0"/>
            <a:ea typeface="+mn-ea"/>
            <a:cs typeface="Arial" panose="020B0604020202020204" pitchFamily="34" charset="0"/>
          </a:endParaRPr>
        </a:p>
        <a:p>
          <a:pPr algn="l"/>
          <a:r>
            <a:rPr lang="fr-FR" sz="2000" baseline="0">
              <a:solidFill>
                <a:srgbClr val="FF0000"/>
              </a:solidFill>
              <a:latin typeface="Arial" panose="020B0604020202020204" pitchFamily="34" charset="0"/>
              <a:ea typeface="+mn-ea"/>
              <a:cs typeface="Arial" panose="020B0604020202020204" pitchFamily="34" charset="0"/>
            </a:rPr>
            <a:t>à travers une inflation estimée à 10 %</a:t>
          </a:r>
        </a:p>
        <a:p>
          <a:pPr algn="l"/>
          <a:endParaRPr lang="fr-FR" sz="2000" baseline="0">
            <a:solidFill>
              <a:srgbClr val="FF0000"/>
            </a:solidFill>
            <a:latin typeface="Arial" panose="020B0604020202020204" pitchFamily="34" charset="0"/>
            <a:ea typeface="+mn-ea"/>
            <a:cs typeface="Arial" panose="020B0604020202020204" pitchFamily="34" charset="0"/>
          </a:endParaRPr>
        </a:p>
        <a:p>
          <a:pPr algn="l"/>
          <a:r>
            <a:rPr lang="fr-FR" sz="2000" b="1" baseline="0">
              <a:solidFill>
                <a:srgbClr val="FF0000"/>
              </a:solidFill>
              <a:latin typeface="Arial" panose="020B0604020202020204" pitchFamily="34" charset="0"/>
              <a:ea typeface="+mn-ea"/>
              <a:cs typeface="Arial" panose="020B0604020202020204" pitchFamily="34" charset="0"/>
            </a:rPr>
            <a:t>Suite à la décision prise en CIM le 18/06/25 de ne pas prévoir la vitrerie au titre des prestations à la demande occasionnelles :</a:t>
          </a:r>
        </a:p>
        <a:p>
          <a:pPr marL="0" marR="0" lvl="0" indent="0" algn="l" defTabSz="914400" eaLnBrk="1" fontAlgn="auto" latinLnBrk="0" hangingPunct="1">
            <a:lnSpc>
              <a:spcPct val="100000"/>
            </a:lnSpc>
            <a:spcBef>
              <a:spcPts val="0"/>
            </a:spcBef>
            <a:spcAft>
              <a:spcPts val="0"/>
            </a:spcAft>
            <a:buClrTx/>
            <a:buSzTx/>
            <a:buFontTx/>
            <a:buNone/>
            <a:tabLst/>
            <a:defRPr/>
          </a:pPr>
          <a:r>
            <a:rPr lang="fr-FR" sz="2000" baseline="0">
              <a:solidFill>
                <a:srgbClr val="FF0000"/>
              </a:solidFill>
              <a:latin typeface="Arial" panose="020B0604020202020204" pitchFamily="34" charset="0"/>
              <a:ea typeface="+mn-ea"/>
              <a:cs typeface="Arial" panose="020B0604020202020204" pitchFamily="34" charset="0"/>
            </a:rPr>
            <a:t>Cet estimatif </a:t>
          </a:r>
          <a:r>
            <a:rPr lang="fr-FR" sz="2000" b="1" u="sng" baseline="0">
              <a:solidFill>
                <a:srgbClr val="FF0000"/>
              </a:solidFill>
              <a:latin typeface="Arial" panose="020B0604020202020204" pitchFamily="34" charset="0"/>
              <a:ea typeface="+mn-ea"/>
              <a:cs typeface="Arial" panose="020B0604020202020204" pitchFamily="34" charset="0"/>
            </a:rPr>
            <a:t>omet </a:t>
          </a:r>
          <a:r>
            <a:rPr lang="fr-FR" sz="2000" baseline="0">
              <a:solidFill>
                <a:srgbClr val="FF0000"/>
              </a:solidFill>
              <a:latin typeface="Arial" panose="020B0604020202020204" pitchFamily="34" charset="0"/>
              <a:ea typeface="+mn-ea"/>
              <a:cs typeface="Arial" panose="020B0604020202020204" pitchFamily="34" charset="0"/>
            </a:rPr>
            <a:t>:</a:t>
          </a:r>
        </a:p>
        <a:p>
          <a:pPr algn="l"/>
          <a:r>
            <a:rPr lang="fr-FR" sz="2000" baseline="0">
              <a:solidFill>
                <a:srgbClr val="FF0000"/>
              </a:solidFill>
              <a:latin typeface="Arial" panose="020B0604020202020204" pitchFamily="34" charset="0"/>
              <a:ea typeface="+mn-ea"/>
              <a:cs typeface="Arial" panose="020B0604020202020204" pitchFamily="34" charset="0"/>
            </a:rPr>
            <a:t>- le coût pour le poste 1 de la prestation de vitrerie au titre des </a:t>
          </a:r>
          <a:r>
            <a:rPr lang="fr-FR" sz="2000" u="sng" baseline="0">
              <a:solidFill>
                <a:srgbClr val="FF0000"/>
              </a:solidFill>
              <a:latin typeface="Arial" panose="020B0604020202020204" pitchFamily="34" charset="0"/>
              <a:ea typeface="+mn-ea"/>
              <a:cs typeface="Arial" panose="020B0604020202020204" pitchFamily="34" charset="0"/>
            </a:rPr>
            <a:t>prestations programmées forfaitaires </a:t>
          </a:r>
          <a:r>
            <a:rPr lang="fr-FR" sz="2000" baseline="0">
              <a:solidFill>
                <a:srgbClr val="FF0000"/>
              </a:solidFill>
              <a:latin typeface="Arial" panose="020B0604020202020204" pitchFamily="34" charset="0"/>
              <a:ea typeface="+mn-ea"/>
              <a:cs typeface="Arial" panose="020B0604020202020204" pitchFamily="34" charset="0"/>
            </a:rPr>
            <a:t>(prestations incluses dans le nettoyage "programmé" des locaux tertiaires) ;</a:t>
          </a:r>
        </a:p>
        <a:p>
          <a:pPr algn="l"/>
          <a:r>
            <a:rPr lang="fr-FR" sz="2000" baseline="0">
              <a:solidFill>
                <a:srgbClr val="FF0000"/>
              </a:solidFill>
              <a:latin typeface="Arial" panose="020B0604020202020204" pitchFamily="34" charset="0"/>
              <a:ea typeface="+mn-ea"/>
              <a:cs typeface="Arial" panose="020B0604020202020204" pitchFamily="34" charset="0"/>
            </a:rPr>
            <a:t>- le coût pour le poste 2 de la prestation de vitrerie au titre des </a:t>
          </a:r>
          <a:r>
            <a:rPr lang="fr-FR" sz="2000" u="sng" baseline="0">
              <a:solidFill>
                <a:srgbClr val="FF0000"/>
              </a:solidFill>
              <a:latin typeface="Arial" panose="020B0604020202020204" pitchFamily="34" charset="0"/>
              <a:ea typeface="+mn-ea"/>
              <a:cs typeface="Arial" panose="020B0604020202020204" pitchFamily="34" charset="0"/>
            </a:rPr>
            <a:t>prestations à la demande habituelle </a:t>
          </a:r>
          <a:r>
            <a:rPr lang="fr-FR" sz="2000" baseline="0">
              <a:solidFill>
                <a:srgbClr val="FF0000"/>
              </a:solidFill>
              <a:latin typeface="Arial" panose="020B0604020202020204" pitchFamily="34" charset="0"/>
              <a:ea typeface="+mn-ea"/>
              <a:cs typeface="Arial" panose="020B0604020202020204" pitchFamily="34" charset="0"/>
            </a:rPr>
            <a:t>(prestations incluses dans le nettoyage "habituel" des chambres).</a:t>
          </a:r>
        </a:p>
        <a:p>
          <a:pPr algn="l"/>
          <a:endParaRPr lang="fr-FR" sz="2000" baseline="0">
            <a:solidFill>
              <a:srgbClr val="FF0000"/>
            </a:solidFill>
            <a:latin typeface="Arial" panose="020B0604020202020204" pitchFamily="34" charset="0"/>
            <a:ea typeface="+mn-ea"/>
            <a:cs typeface="Arial" panose="020B0604020202020204" pitchFamily="34" charset="0"/>
          </a:endParaRPr>
        </a:p>
        <a:p>
          <a:pPr algn="l"/>
          <a:endParaRPr lang="fr-FR" sz="2000" baseline="0">
            <a:solidFill>
              <a:srgbClr val="FF0000"/>
            </a:solidFill>
            <a:latin typeface="Arial" panose="020B0604020202020204" pitchFamily="34" charset="0"/>
            <a:ea typeface="+mn-ea"/>
            <a:cs typeface="Arial" panose="020B0604020202020204" pitchFamily="34" charset="0"/>
          </a:endParaRPr>
        </a:p>
        <a:p>
          <a:pPr algn="l"/>
          <a:endParaRPr lang="fr-FR" sz="2000" baseline="0">
            <a:solidFill>
              <a:srgbClr val="FF0000"/>
            </a:solidFill>
            <a:latin typeface="Arial" panose="020B0604020202020204" pitchFamily="34" charset="0"/>
            <a:ea typeface="+mn-ea"/>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311151</xdr:colOff>
      <xdr:row>5</xdr:row>
      <xdr:rowOff>95250</xdr:rowOff>
    </xdr:from>
    <xdr:to>
      <xdr:col>1</xdr:col>
      <xdr:colOff>2457451</xdr:colOff>
      <xdr:row>21</xdr:row>
      <xdr:rowOff>55124</xdr:rowOff>
    </xdr:to>
    <xdr:pic>
      <xdr:nvPicPr>
        <xdr:cNvPr id="2" name="Image 1"/>
        <xdr:cNvPicPr>
          <a:picLocks noChangeAspect="1"/>
        </xdr:cNvPicPr>
      </xdr:nvPicPr>
      <xdr:blipFill>
        <a:blip xmlns:r="http://schemas.openxmlformats.org/officeDocument/2006/relationships" r:embed="rId1"/>
        <a:stretch>
          <a:fillRect/>
        </a:stretch>
      </xdr:blipFill>
      <xdr:spPr>
        <a:xfrm>
          <a:off x="1073151" y="533400"/>
          <a:ext cx="2146300" cy="2906274"/>
        </a:xfrm>
        <a:prstGeom prst="rect">
          <a:avLst/>
        </a:prstGeom>
      </xdr:spPr>
    </xdr:pic>
    <xdr:clientData/>
  </xdr:twoCellAnchor>
  <xdr:twoCellAnchor editAs="oneCell">
    <xdr:from>
      <xdr:col>1</xdr:col>
      <xdr:colOff>355601</xdr:colOff>
      <xdr:row>23</xdr:row>
      <xdr:rowOff>114301</xdr:rowOff>
    </xdr:from>
    <xdr:to>
      <xdr:col>1</xdr:col>
      <xdr:colOff>2451101</xdr:colOff>
      <xdr:row>39</xdr:row>
      <xdr:rowOff>13541</xdr:rowOff>
    </xdr:to>
    <xdr:pic>
      <xdr:nvPicPr>
        <xdr:cNvPr id="3" name="Image 2"/>
        <xdr:cNvPicPr>
          <a:picLocks noChangeAspect="1"/>
        </xdr:cNvPicPr>
      </xdr:nvPicPr>
      <xdr:blipFill>
        <a:blip xmlns:r="http://schemas.openxmlformats.org/officeDocument/2006/relationships" r:embed="rId2"/>
        <a:stretch>
          <a:fillRect/>
        </a:stretch>
      </xdr:blipFill>
      <xdr:spPr>
        <a:xfrm>
          <a:off x="1117601" y="3867151"/>
          <a:ext cx="2095500" cy="284564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31750</xdr:colOff>
      <xdr:row>28</xdr:row>
      <xdr:rowOff>127000</xdr:rowOff>
    </xdr:from>
    <xdr:to>
      <xdr:col>4</xdr:col>
      <xdr:colOff>279400</xdr:colOff>
      <xdr:row>41</xdr:row>
      <xdr:rowOff>40218</xdr:rowOff>
    </xdr:to>
    <xdr:sp macro="" textlink="">
      <xdr:nvSpPr>
        <xdr:cNvPr id="2" name="Interdiction 1"/>
        <xdr:cNvSpPr/>
      </xdr:nvSpPr>
      <xdr:spPr>
        <a:xfrm>
          <a:off x="793750" y="5918200"/>
          <a:ext cx="2533650" cy="2389718"/>
        </a:xfrm>
        <a:prstGeom prst="noSmoking">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tx1"/>
            </a:solidFill>
          </a:endParaRPr>
        </a:p>
      </xdr:txBody>
    </xdr:sp>
    <xdr:clientData/>
  </xdr:twoCellAnchor>
  <xdr:twoCellAnchor editAs="oneCell">
    <xdr:from>
      <xdr:col>0</xdr:col>
      <xdr:colOff>625928</xdr:colOff>
      <xdr:row>3</xdr:row>
      <xdr:rowOff>127001</xdr:rowOff>
    </xdr:from>
    <xdr:to>
      <xdr:col>4</xdr:col>
      <xdr:colOff>712522</xdr:colOff>
      <xdr:row>23</xdr:row>
      <xdr:rowOff>7258</xdr:rowOff>
    </xdr:to>
    <xdr:pic>
      <xdr:nvPicPr>
        <xdr:cNvPr id="5" name="Image 4"/>
        <xdr:cNvPicPr>
          <a:picLocks noChangeAspect="1"/>
        </xdr:cNvPicPr>
      </xdr:nvPicPr>
      <xdr:blipFill>
        <a:blip xmlns:r="http://schemas.openxmlformats.org/officeDocument/2006/relationships" r:embed="rId1"/>
        <a:stretch>
          <a:fillRect/>
        </a:stretch>
      </xdr:blipFill>
      <xdr:spPr>
        <a:xfrm>
          <a:off x="625928" y="1155701"/>
          <a:ext cx="3134594" cy="3690257"/>
        </a:xfrm>
        <a:prstGeom prst="rect">
          <a:avLst/>
        </a:prstGeom>
      </xdr:spPr>
    </xdr:pic>
    <xdr:clientData/>
  </xdr:twoCellAnchor>
  <xdr:twoCellAnchor editAs="oneCell">
    <xdr:from>
      <xdr:col>5</xdr:col>
      <xdr:colOff>736600</xdr:colOff>
      <xdr:row>4</xdr:row>
      <xdr:rowOff>0</xdr:rowOff>
    </xdr:from>
    <xdr:to>
      <xdr:col>10</xdr:col>
      <xdr:colOff>41324</xdr:colOff>
      <xdr:row>21</xdr:row>
      <xdr:rowOff>169332</xdr:rowOff>
    </xdr:to>
    <xdr:pic>
      <xdr:nvPicPr>
        <xdr:cNvPr id="6" name="Image 5"/>
        <xdr:cNvPicPr>
          <a:picLocks noChangeAspect="1"/>
        </xdr:cNvPicPr>
      </xdr:nvPicPr>
      <xdr:blipFill>
        <a:blip xmlns:r="http://schemas.openxmlformats.org/officeDocument/2006/relationships" r:embed="rId2"/>
        <a:stretch>
          <a:fillRect/>
        </a:stretch>
      </xdr:blipFill>
      <xdr:spPr>
        <a:xfrm>
          <a:off x="4546600" y="1219200"/>
          <a:ext cx="3114724" cy="3407832"/>
        </a:xfrm>
        <a:prstGeom prst="rect">
          <a:avLst/>
        </a:prstGeom>
      </xdr:spPr>
    </xdr:pic>
    <xdr:clientData/>
  </xdr:twoCellAnchor>
  <xdr:twoCellAnchor editAs="oneCell">
    <xdr:from>
      <xdr:col>10</xdr:col>
      <xdr:colOff>508000</xdr:colOff>
      <xdr:row>4</xdr:row>
      <xdr:rowOff>0</xdr:rowOff>
    </xdr:from>
    <xdr:to>
      <xdr:col>15</xdr:col>
      <xdr:colOff>586478</xdr:colOff>
      <xdr:row>21</xdr:row>
      <xdr:rowOff>152400</xdr:rowOff>
    </xdr:to>
    <xdr:pic>
      <xdr:nvPicPr>
        <xdr:cNvPr id="7" name="Image 6"/>
        <xdr:cNvPicPr>
          <a:picLocks noChangeAspect="1"/>
        </xdr:cNvPicPr>
      </xdr:nvPicPr>
      <xdr:blipFill>
        <a:blip xmlns:r="http://schemas.openxmlformats.org/officeDocument/2006/relationships" r:embed="rId3"/>
        <a:stretch>
          <a:fillRect/>
        </a:stretch>
      </xdr:blipFill>
      <xdr:spPr>
        <a:xfrm>
          <a:off x="8128000" y="1219200"/>
          <a:ext cx="3888478" cy="3390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dixmier/Downloads/guillau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g.dixmier/.ACHATS%20_/001_SEGMENTS/013_NDL/DAF_2024_001286_MML_/004_CIM%20et%20CHIFFRAGE%20ESTIMATION_en%20cours/CHIFFRAGE%202024%20-%20LOT%201%20-%20V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g.dixmier/Downloads/CHIFFRAGE%202024%20-%20Vierge%20-%20V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g.dixmier/.ACHATS%20_/001_SEGMENTS/013_NDL/DAF_2025_000350_ORNELLA/CCTP_ANNEXE%201_LOT%201_METZ_CHIFFRAGE_MAJ_.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dixmier/Desktop/CCTP_ANNEXE%201_LOT%201_METZ_CHIFFRAGE_MAJ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X 1 - Légende - appd 2"/>
      <sheetName val="ANX 1 - Descrip locaux - appd 1"/>
      <sheetName val="Prest à la demande OCCA"/>
      <sheetName val="Prest à la demande HABI"/>
      <sheetName val="Coût à l'heure"/>
      <sheetName val="Montants"/>
      <sheetName val="ESTIMATION POUR CIM"/>
      <sheetName val="Prest à la demande"/>
    </sheetNames>
    <sheetDataSet>
      <sheetData sheetId="0">
        <row r="10">
          <cell r="H10">
            <v>1</v>
          </cell>
        </row>
      </sheetData>
      <sheetData sheetId="1">
        <row r="9">
          <cell r="B9" t="str">
            <v>XXXXXXXXX</v>
          </cell>
        </row>
      </sheetData>
      <sheetData sheetId="2">
        <row r="6">
          <cell r="I6">
            <v>0</v>
          </cell>
        </row>
      </sheetData>
      <sheetData sheetId="3"/>
      <sheetData sheetId="4">
        <row r="13">
          <cell r="C13">
            <v>25.79</v>
          </cell>
        </row>
      </sheetData>
      <sheetData sheetId="5">
        <row r="26">
          <cell r="I26">
            <v>0</v>
          </cell>
        </row>
        <row r="54">
          <cell r="F54">
            <v>0.8571428571428571</v>
          </cell>
        </row>
      </sheetData>
      <sheetData sheetId="6" refreshError="1"/>
      <sheetData sheetId="7">
        <row r="73">
          <cell r="I73">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ût à l'heure"/>
      <sheetName val="Données GS"/>
      <sheetName val="Description locaux"/>
      <sheetName val="Nature locaux"/>
      <sheetName val="Prest à la demande"/>
      <sheetName val="Montants"/>
      <sheetName val="ESTIMATION"/>
      <sheetName val="Prest à la demande1"/>
      <sheetName val="Type de locaux"/>
    </sheetNames>
    <sheetDataSet>
      <sheetData sheetId="0" refreshError="1"/>
      <sheetData sheetId="1" refreshError="1"/>
      <sheetData sheetId="2" refreshError="1"/>
      <sheetData sheetId="3" refreshError="1"/>
      <sheetData sheetId="4" refreshError="1"/>
      <sheetData sheetId="5">
        <row r="18">
          <cell r="R18">
            <v>101010.1</v>
          </cell>
        </row>
        <row r="67">
          <cell r="F67">
            <v>0.8571428571428571</v>
          </cell>
        </row>
      </sheetData>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ût à l'heure"/>
      <sheetName val="Montants"/>
      <sheetName val="ANX 1 - Légende - appd 2"/>
      <sheetName val="ANX 1 - Descrip locaux - appd 1"/>
      <sheetName val="Prest à la demande"/>
    </sheetNames>
    <sheetDataSet>
      <sheetData sheetId="0"/>
      <sheetData sheetId="1">
        <row r="54">
          <cell r="F54">
            <v>0.8571428571428571</v>
          </cell>
        </row>
      </sheetData>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X 1 - Légende - appd 2"/>
      <sheetName val="ANX 1 - Descrip locaux - appd 1"/>
      <sheetName val="Prest à la demande OCCA"/>
      <sheetName val="Prest à la demande HABI"/>
      <sheetName val="Coût à l'heure"/>
      <sheetName val="Montants"/>
      <sheetName val="ESTIMATION POUR CIM"/>
      <sheetName val="Type de locaux"/>
      <sheetName val="SYMBOLES"/>
      <sheetName val="Prest à la demande caduque"/>
    </sheetNames>
    <sheetDataSet>
      <sheetData sheetId="0" refreshError="1"/>
      <sheetData sheetId="1" refreshError="1"/>
      <sheetData sheetId="2" refreshError="1"/>
      <sheetData sheetId="3" refreshError="1"/>
      <sheetData sheetId="4" refreshError="1"/>
      <sheetData sheetId="5">
        <row r="54">
          <cell r="F54">
            <v>0.8571428571428571</v>
          </cell>
        </row>
      </sheetData>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X 1 - Légende - appd 2"/>
      <sheetName val="ANX 1 - Descrip locaux - appd 1"/>
      <sheetName val="Prest à la demande OCCA"/>
      <sheetName val="Prest à la demande HABI"/>
      <sheetName val="Coût à l'heure"/>
      <sheetName val="Montants"/>
      <sheetName val="ESTIMATION POUR CIM"/>
      <sheetName val="Type de locaux"/>
      <sheetName val="SYMBOLES"/>
      <sheetName val="Prest à la demande caduque"/>
    </sheetNames>
    <sheetDataSet>
      <sheetData sheetId="0">
        <row r="13">
          <cell r="K13" t="str">
            <v>CIRL</v>
          </cell>
        </row>
      </sheetData>
      <sheetData sheetId="1"/>
      <sheetData sheetId="2"/>
      <sheetData sheetId="3"/>
      <sheetData sheetId="4">
        <row r="16">
          <cell r="C16">
            <v>0.1</v>
          </cell>
        </row>
      </sheetData>
      <sheetData sheetId="5">
        <row r="54">
          <cell r="F54">
            <v>0.8571428571428571</v>
          </cell>
        </row>
      </sheetData>
      <sheetData sheetId="6"/>
      <sheetData sheetId="7"/>
      <sheetData sheetId="8"/>
      <sheetData sheetId="9"/>
    </sheetDataSet>
  </externalBook>
</externalLink>
</file>

<file path=xl/tables/table1.xml><?xml version="1.0" encoding="utf-8"?>
<table xmlns="http://schemas.openxmlformats.org/spreadsheetml/2006/main" id="1" name="Site" displayName="Site" ref="A10:A11" totalsRowShown="0" headerRowDxfId="84" dataDxfId="83" tableBorderDxfId="82">
  <autoFilter ref="A10:A11"/>
  <sortState ref="A3:A76">
    <sortCondition ref="A2:A76"/>
  </sortState>
  <tableColumns count="1">
    <tableColumn id="1" name="SITE / QUARTIER / ENTITÉ ou PRÉCISION s/si besoin" dataDxfId="81"/>
  </tableColumns>
  <tableStyleInfo name="TableStyleMedium2" showFirstColumn="0" showLastColumn="0" showRowStripes="1" showColumnStripes="0"/>
</table>
</file>

<file path=xl/tables/table2.xml><?xml version="1.0" encoding="utf-8"?>
<table xmlns="http://schemas.openxmlformats.org/spreadsheetml/2006/main" id="6" name="Nature_Sol" displayName="Nature_Sol" ref="P10:P23" totalsRowShown="0" headerRowDxfId="80" dataDxfId="79">
  <autoFilter ref="P10:P23"/>
  <sortState ref="P11:P23">
    <sortCondition ref="P11"/>
  </sortState>
  <tableColumns count="1">
    <tableColumn id="1" name="Nature Sol" dataDxfId="78"/>
  </tableColumns>
  <tableStyleInfo name="TableStyleMedium2" showFirstColumn="0" showLastColumn="0" showRowStripes="1" showColumnStripes="0"/>
</table>
</file>

<file path=xl/tables/table3.xml><?xml version="1.0" encoding="utf-8"?>
<table xmlns="http://schemas.openxmlformats.org/spreadsheetml/2006/main" id="7" name="Traitement_Sol" displayName="Traitement_Sol" ref="R10:R18" totalsRowShown="0" headerRowDxfId="77" dataDxfId="76">
  <autoFilter ref="R10:R18"/>
  <sortState ref="R10:R16">
    <sortCondition ref="R9"/>
  </sortState>
  <tableColumns count="1">
    <tableColumn id="1" name="Traitement Sol" dataDxfId="75"/>
  </tableColumns>
  <tableStyleInfo name="TableStyleMedium2" showFirstColumn="0" showLastColumn="0" showRowStripes="1" showColumnStripes="0"/>
</table>
</file>

<file path=xl/tables/table4.xml><?xml version="1.0" encoding="utf-8"?>
<table xmlns="http://schemas.openxmlformats.org/spreadsheetml/2006/main" id="10" name="Fréquence_de_passage" displayName="Fréquence_de_passage" ref="C10:F30" totalsRowShown="0" headerRowDxfId="74" dataDxfId="72" headerRowBorderDxfId="73" tableBorderDxfId="71" totalsRowBorderDxfId="70">
  <autoFilter ref="C10:F30"/>
  <tableColumns count="4">
    <tableColumn id="1" name="Fréquence de passage en clair." dataDxfId="69"/>
    <tableColumn id="2" name="ABRÉVIATION" dataDxfId="68"/>
    <tableColumn id="3" name="Nombre de passage par an" dataDxfId="67"/>
    <tableColumn id="4" name="Précisions périodes : de passage + de fermeture." dataDxfId="66"/>
  </tableColumns>
  <tableStyleInfo name="TableStyleMedium2" showFirstColumn="0" showLastColumn="0" showRowStripes="1" showColumnStripes="0"/>
</table>
</file>

<file path=xl/tables/table5.xml><?xml version="1.0" encoding="utf-8"?>
<table xmlns="http://schemas.openxmlformats.org/spreadsheetml/2006/main" id="2" name="Cadence_cible_selon_Nature_des_locaux" displayName="Cadence_cible_selon_Nature_des_locaux" ref="M10:N27" totalsRowShown="0" headerRowDxfId="65" dataDxfId="64">
  <autoFilter ref="M10:N27"/>
  <sortState ref="M11:N26">
    <sortCondition ref="M10"/>
  </sortState>
  <tableColumns count="2">
    <tableColumn id="1" name="Nature des locaux" dataDxfId="63"/>
    <tableColumn id="2" name="Cadence cible" dataDxfId="62"/>
  </tableColumns>
  <tableStyleInfo name="TableStyleMedium3" showFirstColumn="0" showLastColumn="0" showRowStripes="1" showColumnStripes="0"/>
</table>
</file>

<file path=xl/tables/table6.xml><?xml version="1.0" encoding="utf-8"?>
<table xmlns="http://schemas.openxmlformats.org/spreadsheetml/2006/main" id="3" name="Poste" displayName="Poste" ref="H10:I13" totalsRowShown="0" headerRowDxfId="61" dataDxfId="59" headerRowBorderDxfId="60" tableBorderDxfId="58" totalsRowBorderDxfId="57">
  <autoFilter ref="H10:I13"/>
  <sortState ref="H11:I13">
    <sortCondition ref="H10"/>
  </sortState>
  <tableColumns count="2">
    <tableColumn id="1" name="Poste" dataDxfId="56"/>
    <tableColumn id="2" name="Prestations de nettoyage" dataDxfId="55"/>
  </tableColumns>
  <tableStyleInfo name="TableStyleMedium3" showFirstColumn="0" showLastColumn="0" showRowStripes="1" showColumnStripes="0"/>
</table>
</file>

<file path=xl/tables/table7.xml><?xml version="1.0" encoding="utf-8"?>
<table xmlns="http://schemas.openxmlformats.org/spreadsheetml/2006/main" id="4" name="Budget" displayName="Budget" ref="K10:K14" totalsRowShown="0" headerRowDxfId="54" dataDxfId="52" headerRowBorderDxfId="53" tableBorderDxfId="51" totalsRowBorderDxfId="50">
  <autoFilter ref="K10:K14"/>
  <tableColumns count="1">
    <tableColumn id="1" name="Budget" dataDxfId="49"/>
  </tableColumns>
  <tableStyleInfo name="TableStyleMedium3" showFirstColumn="0" showLastColumn="0" showRowStripes="1" showColumnStripes="0"/>
</table>
</file>

<file path=xl/tables/table8.xml><?xml version="1.0" encoding="utf-8"?>
<table xmlns="http://schemas.openxmlformats.org/spreadsheetml/2006/main" id="5" name="Encombrement_Sol" displayName="Encombrement_Sol" ref="T10:U14" totalsRowShown="0" headerRowDxfId="48" dataDxfId="46" headerRowBorderDxfId="47" tableBorderDxfId="45">
  <autoFilter ref="T10:U14"/>
  <sortState ref="T11:U13">
    <sortCondition ref="U10"/>
  </sortState>
  <tableColumns count="2">
    <tableColumn id="1" name="Encombrement" dataDxfId="44"/>
    <tableColumn id="2" name="%" dataDxfId="43" dataCellStyle="Pourcentage"/>
  </tableColumns>
  <tableStyleInfo name="TableStyleMedium3" showFirstColumn="0" showLastColumn="0" showRowStripes="1" showColumnStripes="0"/>
</table>
</file>

<file path=xl/tables/table9.xml><?xml version="1.0" encoding="utf-8"?>
<table xmlns="http://schemas.openxmlformats.org/spreadsheetml/2006/main" id="8" name="Vétusté" displayName="Vétusté" ref="W10:X14" totalsRowShown="0" headerRowDxfId="42" dataDxfId="40" headerRowBorderDxfId="41" tableBorderDxfId="39">
  <autoFilter ref="W10:X14"/>
  <sortState ref="W11:X13">
    <sortCondition ref="X10"/>
  </sortState>
  <tableColumns count="2">
    <tableColumn id="1" name="Vétusté" dataDxfId="38"/>
    <tableColumn id="2" name="%" dataDxfId="37" dataCellStyle="Pourcentage"/>
  </tableColumns>
  <tableStyleInfo name="TableStyleMedium3"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12"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4.xml"/><Relationship Id="rId11" Type="http://schemas.openxmlformats.org/officeDocument/2006/relationships/table" Target="../tables/table9.xml"/><Relationship Id="rId5" Type="http://schemas.openxmlformats.org/officeDocument/2006/relationships/table" Target="../tables/table3.xml"/><Relationship Id="rId10" Type="http://schemas.openxmlformats.org/officeDocument/2006/relationships/table" Target="../tables/table8.xml"/><Relationship Id="rId4" Type="http://schemas.openxmlformats.org/officeDocument/2006/relationships/table" Target="../tables/table2.xml"/><Relationship Id="rId9" Type="http://schemas.openxmlformats.org/officeDocument/2006/relationships/table" Target="../tables/table7.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AG86"/>
  <sheetViews>
    <sheetView tabSelected="1" topLeftCell="A4" zoomScale="50" zoomScaleNormal="50" workbookViewId="0">
      <selection activeCell="H26" sqref="H26"/>
    </sheetView>
  </sheetViews>
  <sheetFormatPr baseColWidth="10" defaultColWidth="10.81640625" defaultRowHeight="35.15" customHeight="1" x14ac:dyDescent="0.35"/>
  <cols>
    <col min="1" max="1" width="101.453125" style="397" customWidth="1"/>
    <col min="2" max="2" width="4.1796875" style="397" customWidth="1"/>
    <col min="3" max="3" width="54.1796875" style="397" customWidth="1"/>
    <col min="4" max="4" width="21.7265625" style="397" customWidth="1"/>
    <col min="5" max="5" width="68.81640625" style="397" customWidth="1"/>
    <col min="6" max="6" width="54.6328125" style="397" customWidth="1"/>
    <col min="7" max="7" width="4.1796875" style="397" customWidth="1"/>
    <col min="8" max="9" width="19.1796875" style="397" customWidth="1"/>
    <col min="10" max="10" width="4.1796875" style="397" customWidth="1"/>
    <col min="11" max="11" width="18.26953125" style="397" hidden="1" customWidth="1"/>
    <col min="12" max="12" width="2.54296875" style="397" hidden="1" customWidth="1"/>
    <col min="13" max="13" width="23.90625" style="397" hidden="1" customWidth="1"/>
    <col min="14" max="14" width="10.453125" style="397" hidden="1" customWidth="1"/>
    <col min="15" max="15" width="2.54296875" style="397" customWidth="1"/>
    <col min="16" max="16" width="15.453125" style="397" customWidth="1"/>
    <col min="17" max="17" width="3.26953125" style="397" customWidth="1"/>
    <col min="18" max="18" width="17.1796875" style="397" customWidth="1"/>
    <col min="19" max="19" width="3.26953125" style="397" customWidth="1"/>
    <col min="20" max="20" width="20.81640625" style="446" customWidth="1"/>
    <col min="21" max="21" width="9.6328125" style="397" customWidth="1"/>
    <col min="22" max="22" width="3" style="397" customWidth="1"/>
    <col min="23" max="23" width="14.7265625" style="397" customWidth="1"/>
    <col min="24" max="24" width="9.6328125" style="397" customWidth="1"/>
    <col min="25" max="25" width="3.26953125" style="397" customWidth="1"/>
    <col min="26" max="26" width="89.7265625" style="397" customWidth="1"/>
    <col min="27" max="27" width="12.26953125" style="397" customWidth="1"/>
    <col min="28" max="28" width="71" style="397" customWidth="1"/>
    <col min="29" max="29" width="20.81640625" style="397" bestFit="1" customWidth="1"/>
    <col min="30" max="16384" width="10.81640625" style="397"/>
  </cols>
  <sheetData>
    <row r="1" spans="1:33" ht="122.5" hidden="1" customHeight="1" x14ac:dyDescent="0.35">
      <c r="A1" s="490" t="s">
        <v>503</v>
      </c>
      <c r="B1" s="490"/>
      <c r="C1" s="490"/>
      <c r="D1" s="490"/>
      <c r="E1" s="490"/>
      <c r="F1" s="490"/>
      <c r="G1" s="490"/>
      <c r="H1" s="490"/>
      <c r="I1" s="490"/>
      <c r="J1" s="490"/>
      <c r="K1" s="494" t="s">
        <v>504</v>
      </c>
      <c r="L1" s="494"/>
      <c r="M1" s="494"/>
      <c r="N1" s="494"/>
      <c r="O1" s="494"/>
      <c r="P1" s="494"/>
      <c r="Q1" s="494"/>
      <c r="R1" s="494"/>
      <c r="S1" s="494"/>
      <c r="T1" s="494"/>
      <c r="U1" s="494"/>
      <c r="V1" s="494"/>
      <c r="W1" s="494"/>
      <c r="X1" s="494"/>
    </row>
    <row r="2" spans="1:33" s="402" customFormat="1" ht="76" hidden="1" customHeight="1" x14ac:dyDescent="0.35">
      <c r="A2" s="398" t="s">
        <v>406</v>
      </c>
      <c r="B2" s="399"/>
      <c r="C2" s="491" t="s">
        <v>407</v>
      </c>
      <c r="D2" s="491"/>
      <c r="E2" s="491"/>
      <c r="F2" s="400"/>
      <c r="G2" s="401"/>
      <c r="H2" s="401"/>
      <c r="I2" s="401"/>
      <c r="J2" s="401"/>
      <c r="K2" s="494"/>
      <c r="L2" s="494"/>
      <c r="M2" s="494"/>
      <c r="N2" s="494"/>
      <c r="O2" s="494"/>
      <c r="P2" s="494"/>
      <c r="Q2" s="494"/>
      <c r="R2" s="494"/>
      <c r="S2" s="494"/>
      <c r="T2" s="494"/>
      <c r="U2" s="494"/>
      <c r="V2" s="494"/>
      <c r="W2" s="494"/>
      <c r="X2" s="494"/>
    </row>
    <row r="3" spans="1:33" s="402" customFormat="1" ht="41" hidden="1" customHeight="1" x14ac:dyDescent="0.35">
      <c r="A3" s="403" t="s">
        <v>408</v>
      </c>
      <c r="B3" s="404"/>
      <c r="C3" s="492" t="s">
        <v>408</v>
      </c>
      <c r="D3" s="492"/>
      <c r="E3" s="492"/>
      <c r="F3" s="404"/>
      <c r="G3" s="401"/>
      <c r="H3" s="401"/>
      <c r="I3" s="401"/>
      <c r="J3" s="401"/>
      <c r="K3" s="494"/>
      <c r="L3" s="494"/>
      <c r="M3" s="494"/>
      <c r="N3" s="494"/>
      <c r="O3" s="494"/>
      <c r="P3" s="494"/>
      <c r="Q3" s="494"/>
      <c r="R3" s="494"/>
      <c r="S3" s="494"/>
      <c r="T3" s="494"/>
      <c r="U3" s="494"/>
      <c r="V3" s="494"/>
      <c r="W3" s="494"/>
      <c r="X3" s="494"/>
    </row>
    <row r="4" spans="1:33" ht="23" customHeight="1" x14ac:dyDescent="0.35">
      <c r="A4" s="405" t="s">
        <v>260</v>
      </c>
      <c r="B4" s="406"/>
      <c r="C4" s="407" t="s">
        <v>409</v>
      </c>
      <c r="K4" s="493" t="s">
        <v>495</v>
      </c>
      <c r="L4" s="493"/>
      <c r="M4" s="493"/>
      <c r="N4" s="493"/>
    </row>
    <row r="5" spans="1:33" ht="23.5" x14ac:dyDescent="0.35">
      <c r="B5" s="406"/>
      <c r="C5" s="408"/>
      <c r="K5" s="493"/>
      <c r="L5" s="493"/>
      <c r="M5" s="493"/>
      <c r="N5" s="493"/>
    </row>
    <row r="6" spans="1:33" ht="23" x14ac:dyDescent="0.35">
      <c r="A6" s="405" t="s">
        <v>263</v>
      </c>
      <c r="K6" s="493"/>
      <c r="L6" s="493"/>
      <c r="M6" s="493"/>
      <c r="N6" s="493"/>
    </row>
    <row r="7" spans="1:33" ht="23" x14ac:dyDescent="0.35">
      <c r="A7" s="409" t="s">
        <v>264</v>
      </c>
      <c r="K7" s="493"/>
      <c r="L7" s="493"/>
      <c r="M7" s="493"/>
      <c r="N7" s="493"/>
    </row>
    <row r="8" spans="1:33" ht="23" x14ac:dyDescent="0.35">
      <c r="A8" s="405" t="s">
        <v>272</v>
      </c>
      <c r="K8" s="493"/>
      <c r="L8" s="493"/>
      <c r="M8" s="493"/>
      <c r="N8" s="493"/>
    </row>
    <row r="9" spans="1:33" ht="14.5" customHeight="1" thickBot="1" x14ac:dyDescent="0.4">
      <c r="A9" s="405"/>
      <c r="C9" s="410"/>
      <c r="D9" s="410"/>
      <c r="E9" s="410"/>
      <c r="F9" s="410"/>
      <c r="H9" s="410"/>
      <c r="I9" s="410"/>
      <c r="K9" s="410"/>
      <c r="M9" s="410"/>
      <c r="N9" s="410"/>
      <c r="P9" s="410"/>
      <c r="Q9" s="410"/>
      <c r="R9" s="410"/>
      <c r="T9" s="488"/>
      <c r="U9" s="410"/>
      <c r="W9" s="410"/>
      <c r="X9" s="410"/>
      <c r="Z9" s="410"/>
    </row>
    <row r="10" spans="1:33" ht="35.15" customHeight="1" thickBot="1" x14ac:dyDescent="0.4">
      <c r="A10" s="397" t="s">
        <v>410</v>
      </c>
      <c r="C10" s="411" t="s">
        <v>279</v>
      </c>
      <c r="D10" s="412" t="s">
        <v>280</v>
      </c>
      <c r="E10" s="413" t="s">
        <v>281</v>
      </c>
      <c r="F10" s="414" t="s">
        <v>282</v>
      </c>
      <c r="H10" s="415" t="s">
        <v>70</v>
      </c>
      <c r="I10" s="415" t="s">
        <v>411</v>
      </c>
      <c r="K10" s="415" t="s">
        <v>61</v>
      </c>
      <c r="M10" s="397" t="s">
        <v>67</v>
      </c>
      <c r="N10" s="397" t="s">
        <v>412</v>
      </c>
      <c r="P10" s="397" t="s">
        <v>65</v>
      </c>
      <c r="R10" s="397" t="s">
        <v>276</v>
      </c>
      <c r="T10" s="416" t="s">
        <v>7</v>
      </c>
      <c r="U10" s="417" t="s">
        <v>8</v>
      </c>
      <c r="W10" s="417" t="s">
        <v>9</v>
      </c>
      <c r="X10" s="418" t="s">
        <v>8</v>
      </c>
      <c r="Z10" s="419" t="s">
        <v>471</v>
      </c>
      <c r="AG10" s="420"/>
    </row>
    <row r="11" spans="1:33" ht="35.25" customHeight="1" x14ac:dyDescent="0.45">
      <c r="A11" s="421" t="s">
        <v>199</v>
      </c>
      <c r="C11" s="422" t="s">
        <v>469</v>
      </c>
      <c r="D11" s="423" t="s">
        <v>466</v>
      </c>
      <c r="E11" s="424">
        <v>0</v>
      </c>
      <c r="F11" s="425" t="s">
        <v>362</v>
      </c>
      <c r="H11" s="426">
        <v>1</v>
      </c>
      <c r="I11" s="427" t="s">
        <v>273</v>
      </c>
      <c r="K11" s="426" t="s">
        <v>66</v>
      </c>
      <c r="M11" s="397" t="s">
        <v>2</v>
      </c>
      <c r="N11" s="428">
        <v>280</v>
      </c>
      <c r="P11" s="397" t="s">
        <v>30</v>
      </c>
      <c r="R11" s="397" t="s">
        <v>37</v>
      </c>
      <c r="T11" s="446" t="s">
        <v>277</v>
      </c>
      <c r="U11" s="429">
        <v>0.8</v>
      </c>
      <c r="W11" s="397" t="s">
        <v>42</v>
      </c>
      <c r="X11" s="429">
        <v>0.5</v>
      </c>
      <c r="Z11" s="430" t="s">
        <v>472</v>
      </c>
      <c r="AD11" s="402"/>
    </row>
    <row r="12" spans="1:33" ht="52" customHeight="1" x14ac:dyDescent="0.45">
      <c r="A12" s="431"/>
      <c r="C12" s="432" t="s">
        <v>468</v>
      </c>
      <c r="D12" s="433" t="s">
        <v>467</v>
      </c>
      <c r="E12" s="434">
        <v>0</v>
      </c>
      <c r="F12" s="435" t="s">
        <v>362</v>
      </c>
      <c r="H12" s="426">
        <v>2</v>
      </c>
      <c r="I12" s="436" t="s">
        <v>413</v>
      </c>
      <c r="K12" s="426" t="s">
        <v>275</v>
      </c>
      <c r="M12" s="397" t="s">
        <v>14</v>
      </c>
      <c r="N12" s="428">
        <v>250</v>
      </c>
      <c r="P12" s="397" t="s">
        <v>16</v>
      </c>
      <c r="R12" s="397" t="s">
        <v>186</v>
      </c>
      <c r="T12" s="446" t="s">
        <v>18</v>
      </c>
      <c r="U12" s="429">
        <v>1</v>
      </c>
      <c r="W12" s="397" t="s">
        <v>18</v>
      </c>
      <c r="X12" s="429">
        <v>1</v>
      </c>
      <c r="Z12" s="437" t="s">
        <v>473</v>
      </c>
    </row>
    <row r="13" spans="1:33" ht="35.15" customHeight="1" x14ac:dyDescent="0.45">
      <c r="A13" s="431"/>
      <c r="C13" s="422" t="s">
        <v>477</v>
      </c>
      <c r="D13" s="438" t="s">
        <v>470</v>
      </c>
      <c r="E13" s="424">
        <v>0</v>
      </c>
      <c r="F13" s="425" t="s">
        <v>362</v>
      </c>
      <c r="H13" s="439">
        <v>3</v>
      </c>
      <c r="I13" s="440" t="s">
        <v>274</v>
      </c>
      <c r="K13" s="439" t="s">
        <v>63</v>
      </c>
      <c r="M13" s="397" t="s">
        <v>74</v>
      </c>
      <c r="N13" s="428">
        <v>250</v>
      </c>
      <c r="P13" s="397" t="s">
        <v>200</v>
      </c>
      <c r="R13" s="397" t="s">
        <v>39</v>
      </c>
      <c r="T13" s="446" t="s">
        <v>278</v>
      </c>
      <c r="U13" s="429">
        <v>1.2</v>
      </c>
      <c r="W13" s="397" t="s">
        <v>24</v>
      </c>
      <c r="X13" s="429">
        <v>1</v>
      </c>
      <c r="Z13" s="441" t="s">
        <v>474</v>
      </c>
    </row>
    <row r="14" spans="1:33" ht="35.15" customHeight="1" x14ac:dyDescent="0.45">
      <c r="A14" s="431"/>
      <c r="C14" s="442" t="s">
        <v>31</v>
      </c>
      <c r="D14" s="443" t="s">
        <v>32</v>
      </c>
      <c r="E14" s="444">
        <v>1</v>
      </c>
      <c r="F14" s="445" t="s">
        <v>213</v>
      </c>
      <c r="K14" s="439" t="s">
        <v>414</v>
      </c>
      <c r="M14" s="397" t="s">
        <v>19</v>
      </c>
      <c r="N14" s="428">
        <v>250</v>
      </c>
      <c r="P14" s="397" t="s">
        <v>201</v>
      </c>
      <c r="R14" s="397" t="s">
        <v>40</v>
      </c>
      <c r="T14" s="446" t="s">
        <v>414</v>
      </c>
      <c r="U14" s="429" t="s">
        <v>417</v>
      </c>
      <c r="W14" s="446" t="s">
        <v>414</v>
      </c>
      <c r="X14" s="429" t="s">
        <v>417</v>
      </c>
      <c r="Z14" s="447" t="s">
        <v>475</v>
      </c>
    </row>
    <row r="15" spans="1:33" ht="35.15" customHeight="1" x14ac:dyDescent="0.45">
      <c r="A15" s="431"/>
      <c r="C15" s="448" t="s">
        <v>28</v>
      </c>
      <c r="D15" s="449" t="s">
        <v>29</v>
      </c>
      <c r="E15" s="450">
        <f>4</f>
        <v>4</v>
      </c>
      <c r="F15" s="451" t="s">
        <v>214</v>
      </c>
      <c r="M15" s="397" t="s">
        <v>72</v>
      </c>
      <c r="N15" s="428">
        <v>250</v>
      </c>
      <c r="P15" s="397" t="s">
        <v>202</v>
      </c>
      <c r="R15" s="397" t="s">
        <v>17</v>
      </c>
      <c r="Z15" s="452" t="s">
        <v>476</v>
      </c>
    </row>
    <row r="16" spans="1:33" ht="35.15" customHeight="1" x14ac:dyDescent="0.35">
      <c r="A16" s="402"/>
      <c r="C16" s="442" t="s">
        <v>426</v>
      </c>
      <c r="D16" s="443" t="s">
        <v>27</v>
      </c>
      <c r="E16" s="444">
        <v>6</v>
      </c>
      <c r="F16" s="453" t="s">
        <v>215</v>
      </c>
      <c r="M16" s="397" t="s">
        <v>25</v>
      </c>
      <c r="N16" s="428">
        <v>180</v>
      </c>
      <c r="P16" s="397" t="s">
        <v>85</v>
      </c>
      <c r="R16" s="397" t="s">
        <v>41</v>
      </c>
    </row>
    <row r="17" spans="1:18" ht="35.15" customHeight="1" x14ac:dyDescent="0.35">
      <c r="A17" s="402"/>
      <c r="C17" s="454" t="s">
        <v>50</v>
      </c>
      <c r="D17" s="455" t="s">
        <v>26</v>
      </c>
      <c r="E17" s="456">
        <f>12*1</f>
        <v>12</v>
      </c>
      <c r="F17" s="457" t="s">
        <v>216</v>
      </c>
      <c r="M17" s="397" t="s">
        <v>415</v>
      </c>
      <c r="N17" s="428">
        <v>180</v>
      </c>
      <c r="P17" s="397" t="s">
        <v>35</v>
      </c>
      <c r="R17" s="397" t="s">
        <v>38</v>
      </c>
    </row>
    <row r="18" spans="1:18" ht="35.15" customHeight="1" x14ac:dyDescent="0.35">
      <c r="A18" s="402"/>
      <c r="C18" s="458" t="s">
        <v>217</v>
      </c>
      <c r="D18" s="459" t="s">
        <v>218</v>
      </c>
      <c r="E18" s="460">
        <f>12*2</f>
        <v>24</v>
      </c>
      <c r="F18" s="453" t="s">
        <v>219</v>
      </c>
      <c r="M18" s="461" t="s">
        <v>416</v>
      </c>
      <c r="N18" s="462">
        <v>80</v>
      </c>
      <c r="P18" s="397" t="s">
        <v>34</v>
      </c>
      <c r="R18" s="463" t="s">
        <v>414</v>
      </c>
    </row>
    <row r="19" spans="1:18" ht="35.15" customHeight="1" x14ac:dyDescent="0.35">
      <c r="A19" s="431"/>
      <c r="C19" s="458" t="s">
        <v>220</v>
      </c>
      <c r="D19" s="459" t="s">
        <v>221</v>
      </c>
      <c r="E19" s="460">
        <v>36</v>
      </c>
      <c r="F19" s="453" t="s">
        <v>222</v>
      </c>
      <c r="M19" s="397" t="s">
        <v>49</v>
      </c>
      <c r="N19" s="462">
        <v>100</v>
      </c>
      <c r="P19" s="464" t="s">
        <v>418</v>
      </c>
    </row>
    <row r="20" spans="1:18" ht="35.15" customHeight="1" x14ac:dyDescent="0.35">
      <c r="A20" s="431"/>
      <c r="C20" s="465" t="s">
        <v>251</v>
      </c>
      <c r="D20" s="466" t="s">
        <v>252</v>
      </c>
      <c r="E20" s="467">
        <f>52*1</f>
        <v>52</v>
      </c>
      <c r="F20" s="468" t="s">
        <v>253</v>
      </c>
      <c r="M20" s="397" t="s">
        <v>21</v>
      </c>
      <c r="N20" s="428">
        <v>130</v>
      </c>
      <c r="P20" s="397" t="s">
        <v>33</v>
      </c>
    </row>
    <row r="21" spans="1:18" ht="35.15" customHeight="1" x14ac:dyDescent="0.35">
      <c r="A21" s="431"/>
      <c r="C21" s="469" t="s">
        <v>223</v>
      </c>
      <c r="D21" s="470" t="s">
        <v>224</v>
      </c>
      <c r="E21" s="471">
        <f>50*1</f>
        <v>50</v>
      </c>
      <c r="F21" s="472" t="s">
        <v>225</v>
      </c>
      <c r="M21" s="397" t="s">
        <v>15</v>
      </c>
      <c r="N21" s="428">
        <v>0</v>
      </c>
      <c r="P21" s="397" t="s">
        <v>53</v>
      </c>
    </row>
    <row r="22" spans="1:18" ht="35.15" customHeight="1" x14ac:dyDescent="0.35">
      <c r="A22" s="431"/>
      <c r="C22" s="469" t="s">
        <v>226</v>
      </c>
      <c r="D22" s="470" t="s">
        <v>227</v>
      </c>
      <c r="E22" s="473">
        <f>50*2</f>
        <v>100</v>
      </c>
      <c r="F22" s="472" t="s">
        <v>228</v>
      </c>
      <c r="M22" s="397" t="s">
        <v>22</v>
      </c>
      <c r="N22" s="428">
        <v>80</v>
      </c>
      <c r="P22" s="397" t="s">
        <v>36</v>
      </c>
    </row>
    <row r="23" spans="1:18" ht="35.15" customHeight="1" x14ac:dyDescent="0.35">
      <c r="A23" s="431"/>
      <c r="C23" s="469" t="s">
        <v>229</v>
      </c>
      <c r="D23" s="470" t="s">
        <v>230</v>
      </c>
      <c r="E23" s="471">
        <f>50*3</f>
        <v>150</v>
      </c>
      <c r="F23" s="472" t="s">
        <v>231</v>
      </c>
      <c r="M23" s="397" t="s">
        <v>73</v>
      </c>
      <c r="N23" s="428">
        <v>80</v>
      </c>
      <c r="P23" s="446" t="s">
        <v>414</v>
      </c>
    </row>
    <row r="24" spans="1:18" ht="35.15" customHeight="1" x14ac:dyDescent="0.35">
      <c r="A24" s="431"/>
      <c r="C24" s="469" t="s">
        <v>232</v>
      </c>
      <c r="D24" s="470" t="s">
        <v>233</v>
      </c>
      <c r="E24" s="471">
        <f>50*4</f>
        <v>200</v>
      </c>
      <c r="F24" s="472" t="s">
        <v>234</v>
      </c>
      <c r="M24" s="397" t="s">
        <v>23</v>
      </c>
      <c r="N24" s="428">
        <v>460</v>
      </c>
    </row>
    <row r="25" spans="1:18" ht="35.15" customHeight="1" x14ac:dyDescent="0.35">
      <c r="A25" s="431"/>
      <c r="C25" s="474" t="s">
        <v>248</v>
      </c>
      <c r="D25" s="475" t="s">
        <v>249</v>
      </c>
      <c r="E25" s="476">
        <v>365</v>
      </c>
      <c r="F25" s="477" t="s">
        <v>250</v>
      </c>
      <c r="M25" s="397" t="s">
        <v>48</v>
      </c>
      <c r="N25" s="428">
        <v>200</v>
      </c>
    </row>
    <row r="26" spans="1:18" ht="35.15" customHeight="1" x14ac:dyDescent="0.35">
      <c r="A26" s="478"/>
      <c r="C26" s="479" t="s">
        <v>235</v>
      </c>
      <c r="D26" s="480" t="s">
        <v>236</v>
      </c>
      <c r="E26" s="481">
        <f>1*5*50</f>
        <v>250</v>
      </c>
      <c r="F26" s="482" t="s">
        <v>237</v>
      </c>
      <c r="M26" s="397" t="s">
        <v>20</v>
      </c>
      <c r="N26" s="428">
        <v>160</v>
      </c>
    </row>
    <row r="27" spans="1:18" ht="35.15" customHeight="1" x14ac:dyDescent="0.35">
      <c r="A27" s="478"/>
      <c r="C27" s="479" t="s">
        <v>238</v>
      </c>
      <c r="D27" s="480" t="s">
        <v>239</v>
      </c>
      <c r="E27" s="481">
        <f>2*5*50</f>
        <v>500</v>
      </c>
      <c r="F27" s="482" t="s">
        <v>237</v>
      </c>
      <c r="M27" s="483" t="s">
        <v>414</v>
      </c>
      <c r="N27" s="402" t="s">
        <v>417</v>
      </c>
    </row>
    <row r="28" spans="1:18" ht="35.15" customHeight="1" x14ac:dyDescent="0.35">
      <c r="A28" s="431"/>
      <c r="C28" s="479" t="s">
        <v>240</v>
      </c>
      <c r="D28" s="480" t="s">
        <v>241</v>
      </c>
      <c r="E28" s="481">
        <f>3*5*50</f>
        <v>750</v>
      </c>
      <c r="F28" s="482" t="s">
        <v>237</v>
      </c>
    </row>
    <row r="29" spans="1:18" ht="35.15" customHeight="1" x14ac:dyDescent="0.35">
      <c r="A29" s="431"/>
      <c r="C29" s="479" t="s">
        <v>242</v>
      </c>
      <c r="D29" s="480" t="s">
        <v>243</v>
      </c>
      <c r="E29" s="481">
        <f>1*6*50</f>
        <v>300</v>
      </c>
      <c r="F29" s="482" t="s">
        <v>244</v>
      </c>
    </row>
    <row r="30" spans="1:18" ht="35.15" customHeight="1" thickBot="1" x14ac:dyDescent="0.4">
      <c r="A30" s="431"/>
      <c r="C30" s="484" t="s">
        <v>245</v>
      </c>
      <c r="D30" s="485" t="s">
        <v>246</v>
      </c>
      <c r="E30" s="486">
        <f>1*7*50</f>
        <v>350</v>
      </c>
      <c r="F30" s="487" t="s">
        <v>247</v>
      </c>
    </row>
    <row r="31" spans="1:18" ht="35.15" customHeight="1" x14ac:dyDescent="0.35">
      <c r="A31" s="431"/>
      <c r="C31" s="431"/>
      <c r="D31" s="431"/>
      <c r="E31" s="431"/>
      <c r="F31" s="431"/>
    </row>
    <row r="32" spans="1:18" ht="35.15" customHeight="1" x14ac:dyDescent="0.35">
      <c r="A32" s="431"/>
      <c r="C32" s="431"/>
      <c r="D32" s="431"/>
      <c r="E32" s="431"/>
      <c r="F32" s="431"/>
    </row>
    <row r="33" spans="1:6" ht="35.15" customHeight="1" x14ac:dyDescent="0.35">
      <c r="A33" s="431"/>
      <c r="C33" s="431"/>
      <c r="D33" s="431"/>
      <c r="E33" s="431"/>
      <c r="F33" s="431"/>
    </row>
    <row r="34" spans="1:6" ht="35.15" customHeight="1" x14ac:dyDescent="0.35">
      <c r="A34" s="431"/>
      <c r="C34" s="431"/>
      <c r="D34" s="431"/>
      <c r="E34" s="431"/>
      <c r="F34" s="431"/>
    </row>
    <row r="35" spans="1:6" ht="35.15" customHeight="1" x14ac:dyDescent="0.35">
      <c r="A35" s="478"/>
      <c r="C35" s="431"/>
      <c r="D35" s="431"/>
      <c r="E35" s="431"/>
      <c r="F35" s="431"/>
    </row>
    <row r="36" spans="1:6" ht="35.15" customHeight="1" x14ac:dyDescent="0.35">
      <c r="A36" s="431"/>
      <c r="C36" s="431"/>
      <c r="D36" s="431"/>
      <c r="E36" s="431"/>
      <c r="F36" s="431"/>
    </row>
    <row r="37" spans="1:6" ht="35.15" customHeight="1" x14ac:dyDescent="0.35">
      <c r="A37" s="431"/>
      <c r="C37" s="478"/>
      <c r="D37" s="478"/>
      <c r="E37" s="478"/>
      <c r="F37" s="478"/>
    </row>
    <row r="38" spans="1:6" ht="35.15" customHeight="1" x14ac:dyDescent="0.35">
      <c r="A38" s="431"/>
      <c r="C38" s="431"/>
      <c r="D38" s="431"/>
      <c r="E38" s="431"/>
      <c r="F38" s="431"/>
    </row>
    <row r="39" spans="1:6" ht="35.15" customHeight="1" x14ac:dyDescent="0.35">
      <c r="A39" s="431"/>
      <c r="C39" s="431"/>
      <c r="D39" s="431"/>
      <c r="E39" s="431"/>
      <c r="F39" s="431"/>
    </row>
    <row r="40" spans="1:6" ht="35.15" customHeight="1" x14ac:dyDescent="0.35">
      <c r="A40" s="431"/>
      <c r="C40" s="431"/>
      <c r="D40" s="431"/>
      <c r="E40" s="431"/>
      <c r="F40" s="431"/>
    </row>
    <row r="41" spans="1:6" ht="35.15" customHeight="1" x14ac:dyDescent="0.35">
      <c r="A41" s="431"/>
      <c r="C41" s="431"/>
      <c r="D41" s="431"/>
      <c r="E41" s="431"/>
      <c r="F41" s="431"/>
    </row>
    <row r="42" spans="1:6" ht="35.15" customHeight="1" x14ac:dyDescent="0.35">
      <c r="A42" s="478"/>
      <c r="C42" s="431"/>
      <c r="D42" s="431"/>
      <c r="E42" s="431"/>
      <c r="F42" s="431"/>
    </row>
    <row r="43" spans="1:6" ht="35.15" customHeight="1" x14ac:dyDescent="0.35">
      <c r="A43" s="431"/>
      <c r="C43" s="431"/>
      <c r="D43" s="431"/>
      <c r="E43" s="431"/>
      <c r="F43" s="431"/>
    </row>
    <row r="44" spans="1:6" ht="35.15" customHeight="1" x14ac:dyDescent="0.35">
      <c r="A44" s="431"/>
      <c r="C44" s="478"/>
      <c r="D44" s="478"/>
      <c r="E44" s="478"/>
      <c r="F44" s="478"/>
    </row>
    <row r="45" spans="1:6" ht="35.15" customHeight="1" x14ac:dyDescent="0.35">
      <c r="A45" s="431"/>
      <c r="C45" s="431"/>
      <c r="D45" s="431"/>
      <c r="E45" s="431"/>
      <c r="F45" s="431"/>
    </row>
    <row r="46" spans="1:6" ht="35.15" customHeight="1" x14ac:dyDescent="0.35">
      <c r="A46" s="431"/>
      <c r="C46" s="431"/>
      <c r="D46" s="431"/>
      <c r="E46" s="431"/>
      <c r="F46" s="431"/>
    </row>
    <row r="47" spans="1:6" ht="35.15" customHeight="1" x14ac:dyDescent="0.35">
      <c r="A47" s="431"/>
      <c r="C47" s="431"/>
      <c r="D47" s="431"/>
      <c r="E47" s="431"/>
      <c r="F47" s="431"/>
    </row>
    <row r="48" spans="1:6" ht="35.15" customHeight="1" x14ac:dyDescent="0.35">
      <c r="A48" s="431"/>
      <c r="C48" s="431"/>
      <c r="D48" s="431"/>
      <c r="E48" s="431"/>
      <c r="F48" s="431"/>
    </row>
    <row r="49" spans="1:6" ht="35.15" customHeight="1" x14ac:dyDescent="0.35">
      <c r="A49" s="431"/>
      <c r="C49" s="431"/>
      <c r="D49" s="431"/>
      <c r="E49" s="431"/>
      <c r="F49" s="431"/>
    </row>
    <row r="50" spans="1:6" ht="35.15" customHeight="1" x14ac:dyDescent="0.35">
      <c r="A50" s="431"/>
      <c r="C50" s="431"/>
      <c r="D50" s="431"/>
      <c r="E50" s="431"/>
      <c r="F50" s="431"/>
    </row>
    <row r="51" spans="1:6" ht="35.15" customHeight="1" x14ac:dyDescent="0.35">
      <c r="A51" s="431"/>
      <c r="C51" s="431"/>
      <c r="D51" s="431"/>
      <c r="E51" s="431"/>
      <c r="F51" s="431"/>
    </row>
    <row r="52" spans="1:6" ht="35.15" customHeight="1" x14ac:dyDescent="0.35">
      <c r="A52" s="431"/>
      <c r="C52" s="431"/>
      <c r="D52" s="431"/>
      <c r="E52" s="431"/>
      <c r="F52" s="431"/>
    </row>
    <row r="53" spans="1:6" ht="35.15" customHeight="1" x14ac:dyDescent="0.35">
      <c r="A53" s="431"/>
      <c r="C53" s="431"/>
      <c r="D53" s="431"/>
      <c r="E53" s="431"/>
      <c r="F53" s="431"/>
    </row>
    <row r="54" spans="1:6" ht="35.15" customHeight="1" x14ac:dyDescent="0.35">
      <c r="A54" s="431"/>
      <c r="C54" s="431"/>
      <c r="D54" s="431"/>
      <c r="E54" s="431"/>
      <c r="F54" s="431"/>
    </row>
    <row r="55" spans="1:6" ht="50.5" customHeight="1" x14ac:dyDescent="0.35">
      <c r="A55" s="431"/>
      <c r="C55" s="431"/>
      <c r="D55" s="431"/>
      <c r="E55" s="431"/>
      <c r="F55" s="431"/>
    </row>
    <row r="56" spans="1:6" ht="35.15" customHeight="1" x14ac:dyDescent="0.35">
      <c r="A56" s="431"/>
      <c r="C56" s="431"/>
      <c r="D56" s="431"/>
      <c r="E56" s="431"/>
      <c r="F56" s="431"/>
    </row>
    <row r="57" spans="1:6" ht="35.15" customHeight="1" x14ac:dyDescent="0.35">
      <c r="A57" s="431"/>
      <c r="C57" s="431"/>
      <c r="D57" s="431"/>
      <c r="E57" s="431"/>
      <c r="F57" s="431"/>
    </row>
    <row r="58" spans="1:6" ht="35.15" customHeight="1" x14ac:dyDescent="0.35">
      <c r="A58" s="431"/>
      <c r="C58" s="431"/>
      <c r="D58" s="431"/>
      <c r="E58" s="431"/>
      <c r="F58" s="431"/>
    </row>
    <row r="59" spans="1:6" ht="35.15" customHeight="1" x14ac:dyDescent="0.35">
      <c r="A59" s="431"/>
      <c r="C59" s="431"/>
      <c r="D59" s="431"/>
      <c r="E59" s="431"/>
      <c r="F59" s="431"/>
    </row>
    <row r="60" spans="1:6" ht="35.15" customHeight="1" x14ac:dyDescent="0.35">
      <c r="A60" s="431"/>
      <c r="C60" s="431"/>
      <c r="D60" s="431"/>
      <c r="E60" s="431"/>
      <c r="F60" s="431"/>
    </row>
    <row r="61" spans="1:6" ht="35.15" customHeight="1" x14ac:dyDescent="0.35">
      <c r="A61" s="431"/>
      <c r="C61" s="431"/>
      <c r="D61" s="431"/>
      <c r="E61" s="431"/>
      <c r="F61" s="431"/>
    </row>
    <row r="62" spans="1:6" ht="35.15" customHeight="1" x14ac:dyDescent="0.35">
      <c r="A62" s="431"/>
      <c r="C62" s="431"/>
      <c r="D62" s="431"/>
      <c r="E62" s="431"/>
      <c r="F62" s="431"/>
    </row>
    <row r="63" spans="1:6" ht="35.15" customHeight="1" x14ac:dyDescent="0.35">
      <c r="A63" s="431"/>
      <c r="C63" s="431"/>
      <c r="D63" s="431"/>
      <c r="E63" s="431"/>
      <c r="F63" s="431"/>
    </row>
    <row r="64" spans="1:6" ht="35.15" customHeight="1" x14ac:dyDescent="0.35">
      <c r="A64" s="431"/>
      <c r="C64" s="431"/>
      <c r="D64" s="431"/>
      <c r="E64" s="431"/>
      <c r="F64" s="431"/>
    </row>
    <row r="65" spans="1:6" ht="35.15" customHeight="1" x14ac:dyDescent="0.35">
      <c r="A65" s="431"/>
      <c r="C65" s="431"/>
      <c r="D65" s="431"/>
      <c r="E65" s="431"/>
      <c r="F65" s="431"/>
    </row>
    <row r="66" spans="1:6" ht="35.15" customHeight="1" x14ac:dyDescent="0.35">
      <c r="A66" s="431"/>
      <c r="C66" s="431"/>
      <c r="D66" s="431"/>
      <c r="E66" s="431"/>
      <c r="F66" s="431"/>
    </row>
    <row r="67" spans="1:6" ht="35.15" customHeight="1" x14ac:dyDescent="0.35">
      <c r="A67" s="431"/>
      <c r="C67" s="431"/>
      <c r="D67" s="431"/>
      <c r="E67" s="431"/>
      <c r="F67" s="431"/>
    </row>
    <row r="68" spans="1:6" ht="35.15" customHeight="1" x14ac:dyDescent="0.35">
      <c r="A68" s="478"/>
      <c r="C68" s="431"/>
      <c r="D68" s="431"/>
      <c r="E68" s="431"/>
      <c r="F68" s="431"/>
    </row>
    <row r="69" spans="1:6" ht="35.15" customHeight="1" x14ac:dyDescent="0.35">
      <c r="A69" s="431"/>
      <c r="C69" s="431"/>
      <c r="D69" s="431"/>
      <c r="E69" s="431"/>
      <c r="F69" s="431"/>
    </row>
    <row r="70" spans="1:6" ht="35.15" customHeight="1" x14ac:dyDescent="0.35">
      <c r="A70" s="431"/>
      <c r="C70" s="478"/>
      <c r="D70" s="478"/>
      <c r="E70" s="478"/>
      <c r="F70" s="478"/>
    </row>
    <row r="71" spans="1:6" ht="35.15" customHeight="1" x14ac:dyDescent="0.35">
      <c r="A71" s="431"/>
      <c r="C71" s="431"/>
      <c r="D71" s="431"/>
      <c r="E71" s="431"/>
      <c r="F71" s="431"/>
    </row>
    <row r="72" spans="1:6" ht="35.15" customHeight="1" x14ac:dyDescent="0.35">
      <c r="A72" s="431"/>
      <c r="C72" s="431"/>
      <c r="D72" s="431"/>
      <c r="E72" s="431"/>
      <c r="F72" s="431"/>
    </row>
    <row r="73" spans="1:6" ht="35.15" customHeight="1" x14ac:dyDescent="0.35">
      <c r="A73" s="431"/>
      <c r="C73" s="431"/>
      <c r="D73" s="431"/>
      <c r="E73" s="431"/>
      <c r="F73" s="431"/>
    </row>
    <row r="74" spans="1:6" ht="35.15" customHeight="1" x14ac:dyDescent="0.35">
      <c r="A74" s="431"/>
      <c r="C74" s="431"/>
      <c r="D74" s="431"/>
      <c r="E74" s="431"/>
      <c r="F74" s="431"/>
    </row>
    <row r="75" spans="1:6" ht="35.15" customHeight="1" x14ac:dyDescent="0.35">
      <c r="A75" s="431"/>
      <c r="C75" s="431"/>
      <c r="D75" s="431"/>
      <c r="E75" s="431"/>
      <c r="F75" s="431"/>
    </row>
    <row r="76" spans="1:6" ht="35.15" customHeight="1" x14ac:dyDescent="0.35">
      <c r="A76" s="431"/>
      <c r="C76" s="431"/>
      <c r="D76" s="431"/>
      <c r="E76" s="431"/>
      <c r="F76" s="431"/>
    </row>
    <row r="77" spans="1:6" ht="35.15" customHeight="1" x14ac:dyDescent="0.35">
      <c r="A77" s="431"/>
      <c r="C77" s="431"/>
      <c r="D77" s="431"/>
      <c r="E77" s="431"/>
      <c r="F77" s="431"/>
    </row>
    <row r="78" spans="1:6" ht="35.15" customHeight="1" x14ac:dyDescent="0.35">
      <c r="A78" s="478"/>
      <c r="C78" s="431"/>
      <c r="D78" s="431"/>
      <c r="E78" s="431"/>
      <c r="F78" s="431"/>
    </row>
    <row r="79" spans="1:6" ht="35.15" customHeight="1" x14ac:dyDescent="0.35">
      <c r="A79" s="431"/>
      <c r="C79" s="431"/>
      <c r="D79" s="431"/>
      <c r="E79" s="431"/>
      <c r="F79" s="431"/>
    </row>
    <row r="80" spans="1:6" ht="35.15" customHeight="1" x14ac:dyDescent="0.35">
      <c r="A80" s="431"/>
      <c r="C80" s="478"/>
      <c r="D80" s="478"/>
      <c r="E80" s="478"/>
      <c r="F80" s="478"/>
    </row>
    <row r="81" spans="1:6" ht="35.15" customHeight="1" x14ac:dyDescent="0.35">
      <c r="A81" s="431"/>
      <c r="C81" s="431"/>
      <c r="D81" s="431"/>
      <c r="E81" s="431"/>
      <c r="F81" s="431"/>
    </row>
    <row r="82" spans="1:6" ht="35.15" customHeight="1" x14ac:dyDescent="0.35">
      <c r="A82" s="431"/>
      <c r="C82" s="431"/>
      <c r="D82" s="431"/>
      <c r="E82" s="431"/>
      <c r="F82" s="431"/>
    </row>
    <row r="83" spans="1:6" ht="35.15" customHeight="1" x14ac:dyDescent="0.35">
      <c r="A83" s="431"/>
      <c r="C83" s="431"/>
      <c r="D83" s="431"/>
      <c r="E83" s="431"/>
      <c r="F83" s="431"/>
    </row>
    <row r="84" spans="1:6" ht="35.15" customHeight="1" x14ac:dyDescent="0.35">
      <c r="A84" s="431"/>
      <c r="C84" s="431"/>
      <c r="D84" s="431"/>
      <c r="E84" s="431"/>
      <c r="F84" s="431"/>
    </row>
    <row r="85" spans="1:6" ht="35.15" customHeight="1" x14ac:dyDescent="0.35">
      <c r="C85" s="431"/>
      <c r="D85" s="431"/>
      <c r="E85" s="431"/>
      <c r="F85" s="431"/>
    </row>
    <row r="86" spans="1:6" ht="35.15" customHeight="1" x14ac:dyDescent="0.35">
      <c r="C86" s="431"/>
      <c r="D86" s="431"/>
      <c r="E86" s="431"/>
      <c r="F86" s="431"/>
    </row>
  </sheetData>
  <mergeCells count="5">
    <mergeCell ref="A1:J1"/>
    <mergeCell ref="C2:E2"/>
    <mergeCell ref="C3:E3"/>
    <mergeCell ref="K4:N8"/>
    <mergeCell ref="K1:X3"/>
  </mergeCells>
  <dataValidations count="6">
    <dataValidation allowBlank="1" showInputMessage="1" showErrorMessage="1" error="À ACTUALISER EN LAISSANT LA MISE EN FORME." prompt="À ACTUALISER EN LAISSANT LA MISE EN FORME." sqref="A4:C4"/>
    <dataValidation type="textLength" allowBlank="1" showInputMessage="1" showErrorMessage="1" error="CHARTE EXCEL DU DOCUMENT / NE PAS MODIFIER !" prompt="CHARTE EXCEL DU DOCUMENT / NE PAS MODIFIER !" sqref="Z4:Z15 AA5:XFD9 AA4:AT4 O4:Y4 A5:A9 C10:G10 B5:B1146 G11:G1033 C5:I9 J5:J1092 L9:L1003 D4:J4 Y5:Y1016 O5:O1019 P5:R9 S5:S1039 T5:U9 V5:V1014 W5:X9 M9:N9 K9">
      <formula1>1000</formula1>
      <formula2>1000</formula2>
    </dataValidation>
    <dataValidation type="textLength" allowBlank="1" showInputMessage="1" showErrorMessage="1" error="Vous n'êtes pas autorisés à modifier ce tableau rouge." prompt="Vous n'êtes pas autorisés à modifier ce tableau rouge." sqref="W10:X50 M10:N50 H10:I59 T10:U50">
      <formula1>1000</formula1>
      <formula2>1000</formula2>
    </dataValidation>
    <dataValidation type="textLength" allowBlank="1" showInputMessage="1" showErrorMessage="1" error="Lignes à masquer dans l'annexe 1 communiquée dans l'appel d'offres." prompt="Lignes à masquer dans l'annexe 1 communiquée dans l'appel d'offres." sqref="A1:XFD3">
      <formula1>1000</formula1>
      <formula2>1000</formula2>
    </dataValidation>
    <dataValidation type="textLength" allowBlank="1" showInputMessage="1" showErrorMessage="1" error="Vous n'êtes pas autorisés à modifier ce tableau rouge. Contacter l'acheteur si besoin !" prompt="Vous n'êtes pas autorisés à modifier ce tableau rouge." sqref="K10:K50">
      <formula1>1000</formula1>
      <formula2>1000</formula2>
    </dataValidation>
    <dataValidation type="textLength" allowBlank="1" showInputMessage="1" showErrorMessage="1" error="ACHETEUR :_x000a_Colonnes à masquer dans l'annexe 1 communiquée dans l'appel d'offres." prompt="ACHETEUR :_x000a_Colonnes à masquer dans l'annexe 1 communiquée dans l'appel d'offres." sqref="K4">
      <formula1>1000</formula1>
      <formula2>1000</formula2>
    </dataValidation>
  </dataValidations>
  <pageMargins left="0.7" right="0.7" top="0.75" bottom="0.75" header="0.3" footer="0.3"/>
  <pageSetup paperSize="9" scale="24" orientation="landscape" r:id="rId1"/>
  <legacyDrawing r:id="rId2"/>
  <tableParts count="9">
    <tablePart r:id="rId3"/>
    <tablePart r:id="rId4"/>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AA81"/>
  <sheetViews>
    <sheetView zoomScale="50" zoomScaleNormal="50" workbookViewId="0">
      <pane ySplit="15" topLeftCell="A19" activePane="bottomLeft" state="frozen"/>
      <selection pane="bottomLeft" activeCell="AE25" sqref="AE25"/>
    </sheetView>
  </sheetViews>
  <sheetFormatPr baseColWidth="10" defaultColWidth="11.453125" defaultRowHeight="14" x14ac:dyDescent="0.3"/>
  <cols>
    <col min="1" max="1" width="73.453125" style="92" customWidth="1"/>
    <col min="2" max="2" width="8.54296875" style="97" customWidth="1"/>
    <col min="3" max="3" width="9.453125" style="97" bestFit="1" customWidth="1"/>
    <col min="4" max="4" width="10.54296875" style="92" customWidth="1"/>
    <col min="5" max="5" width="8.81640625" style="92" customWidth="1"/>
    <col min="6" max="6" width="22.54296875" style="92" customWidth="1"/>
    <col min="7" max="7" width="18.1796875" style="92" customWidth="1"/>
    <col min="8" max="8" width="9.1796875" style="92" customWidth="1"/>
    <col min="9" max="9" width="11.54296875" style="92" customWidth="1"/>
    <col min="10" max="10" width="11.81640625" style="97" customWidth="1"/>
    <col min="11" max="11" width="11.453125" style="92"/>
    <col min="12" max="12" width="11" style="92" customWidth="1"/>
    <col min="13" max="13" width="12.7265625" style="97" customWidth="1"/>
    <col min="14" max="14" width="19.1796875" style="92" customWidth="1"/>
    <col min="15" max="15" width="13.453125" style="92" customWidth="1"/>
    <col min="16" max="16" width="13.7265625" style="92" customWidth="1"/>
    <col min="17" max="17" width="13.453125" style="92" customWidth="1"/>
    <col min="18" max="18" width="22.1796875" style="97" customWidth="1"/>
    <col min="19" max="19" width="11.81640625" style="92" customWidth="1"/>
    <col min="20" max="20" width="88" style="96" customWidth="1"/>
    <col min="21" max="24" width="14.7265625" style="92" hidden="1" customWidth="1"/>
    <col min="25" max="29" width="14.7265625" style="92" customWidth="1"/>
    <col min="30" max="16384" width="11.453125" style="92"/>
  </cols>
  <sheetData>
    <row r="1" spans="1:25" ht="56.25" hidden="1" customHeight="1" x14ac:dyDescent="0.3">
      <c r="A1" s="502" t="s">
        <v>497</v>
      </c>
      <c r="B1" s="502"/>
      <c r="C1" s="502"/>
      <c r="D1" s="502"/>
      <c r="E1" s="502"/>
      <c r="F1" s="502"/>
      <c r="G1" s="502"/>
      <c r="H1" s="502"/>
      <c r="I1" s="502"/>
      <c r="J1" s="502"/>
      <c r="K1" s="502"/>
      <c r="L1" s="502"/>
      <c r="M1" s="502"/>
      <c r="N1" s="502"/>
      <c r="O1" s="502"/>
      <c r="P1" s="502"/>
      <c r="Q1" s="503" t="s">
        <v>504</v>
      </c>
      <c r="R1" s="504"/>
      <c r="S1" s="504"/>
      <c r="T1" s="504"/>
      <c r="U1" s="504"/>
      <c r="V1" s="329"/>
      <c r="W1" s="329"/>
      <c r="X1" s="329"/>
    </row>
    <row r="2" spans="1:25" ht="73" hidden="1" customHeight="1" x14ac:dyDescent="0.3">
      <c r="A2" s="323" t="s">
        <v>406</v>
      </c>
      <c r="B2" s="330"/>
      <c r="C2" s="505" t="s">
        <v>407</v>
      </c>
      <c r="D2" s="505"/>
      <c r="E2" s="505"/>
      <c r="F2" s="505"/>
      <c r="H2" s="524" t="s">
        <v>419</v>
      </c>
      <c r="I2" s="525"/>
      <c r="J2" s="525"/>
      <c r="K2" s="525"/>
      <c r="L2" s="525"/>
      <c r="M2" s="525"/>
      <c r="N2" s="525"/>
      <c r="Q2" s="504"/>
      <c r="R2" s="504"/>
      <c r="S2" s="504"/>
      <c r="T2" s="504"/>
      <c r="U2" s="504"/>
      <c r="V2" s="329"/>
      <c r="W2" s="329"/>
      <c r="X2" s="329"/>
    </row>
    <row r="3" spans="1:25" ht="73" hidden="1" customHeight="1" x14ac:dyDescent="0.3">
      <c r="A3" s="324" t="s">
        <v>408</v>
      </c>
      <c r="B3" s="325"/>
      <c r="C3" s="526" t="s">
        <v>408</v>
      </c>
      <c r="D3" s="526"/>
      <c r="E3" s="526"/>
      <c r="F3" s="526"/>
      <c r="H3" s="525"/>
      <c r="I3" s="525"/>
      <c r="J3" s="525"/>
      <c r="K3" s="525"/>
      <c r="L3" s="525"/>
      <c r="M3" s="525"/>
      <c r="N3" s="525"/>
      <c r="Q3" s="504"/>
      <c r="R3" s="504"/>
      <c r="S3" s="504"/>
      <c r="T3" s="504"/>
      <c r="U3" s="504"/>
      <c r="V3" s="329"/>
      <c r="W3" s="329"/>
      <c r="X3" s="329"/>
    </row>
    <row r="4" spans="1:25" s="110" customFormat="1" ht="20" customHeight="1" x14ac:dyDescent="0.4">
      <c r="A4" s="127" t="str">
        <f>'ANX 1 - Légende - appd 2'!A4</f>
        <v>DAF_2025_000478</v>
      </c>
      <c r="B4" s="326"/>
      <c r="C4" s="327" t="str">
        <f>'ANX 1 - Légende - appd 2'!C4:E4</f>
        <v>LOT UNIQUE :  HÔTEL de BROGLIE - STRASBOURG</v>
      </c>
      <c r="D4" s="125"/>
      <c r="E4" s="125"/>
      <c r="F4" s="125"/>
      <c r="G4" s="125"/>
      <c r="H4" s="125"/>
      <c r="I4" s="125"/>
      <c r="J4" s="125"/>
      <c r="K4" s="125"/>
      <c r="L4" s="125"/>
      <c r="M4" s="148"/>
      <c r="N4" s="148"/>
      <c r="O4" s="148"/>
      <c r="P4" s="148"/>
      <c r="Q4" s="148"/>
      <c r="R4" s="148"/>
      <c r="S4" s="148"/>
      <c r="T4" s="148"/>
      <c r="U4" s="148"/>
      <c r="V4" s="148"/>
      <c r="W4" s="148"/>
      <c r="X4" s="148"/>
      <c r="Y4" s="148"/>
    </row>
    <row r="5" spans="1:25" s="110" customFormat="1" ht="20" customHeight="1" x14ac:dyDescent="0.25">
      <c r="B5" s="326"/>
      <c r="C5" s="328"/>
      <c r="D5" s="125"/>
      <c r="E5" s="125"/>
      <c r="F5" s="125"/>
      <c r="G5" s="125"/>
      <c r="H5" s="125"/>
      <c r="I5" s="125"/>
      <c r="J5" s="125"/>
      <c r="K5" s="125"/>
      <c r="L5" s="125"/>
      <c r="M5" s="125"/>
      <c r="N5" s="125"/>
      <c r="O5" s="125"/>
      <c r="P5" s="125"/>
      <c r="Q5" s="125"/>
      <c r="R5" s="125"/>
      <c r="S5" s="125"/>
      <c r="T5" s="125"/>
      <c r="U5" s="331"/>
    </row>
    <row r="6" spans="1:25" ht="20" customHeight="1" x14ac:dyDescent="0.3">
      <c r="A6" s="127" t="s">
        <v>263</v>
      </c>
      <c r="B6" s="92"/>
      <c r="C6" s="332"/>
      <c r="D6" s="332"/>
      <c r="E6" s="332"/>
      <c r="F6" s="332"/>
      <c r="G6" s="332"/>
      <c r="H6" s="332"/>
      <c r="I6" s="332"/>
      <c r="J6" s="332"/>
      <c r="K6" s="332"/>
      <c r="L6" s="332"/>
      <c r="M6" s="332"/>
      <c r="N6" s="332"/>
      <c r="R6" s="92"/>
      <c r="T6" s="92"/>
      <c r="U6" s="333"/>
    </row>
    <row r="7" spans="1:25" ht="20" customHeight="1" x14ac:dyDescent="0.3">
      <c r="A7" s="128" t="s">
        <v>264</v>
      </c>
      <c r="B7" s="334"/>
      <c r="C7" s="335"/>
      <c r="D7" s="335"/>
      <c r="E7" s="335"/>
      <c r="F7" s="335"/>
      <c r="G7" s="335"/>
      <c r="H7" s="335"/>
      <c r="I7" s="335"/>
      <c r="J7" s="335"/>
      <c r="K7" s="335"/>
      <c r="L7" s="335"/>
      <c r="M7" s="335"/>
      <c r="N7" s="335"/>
      <c r="R7" s="92"/>
      <c r="T7" s="92"/>
      <c r="U7" s="333"/>
    </row>
    <row r="8" spans="1:25" ht="20" customHeight="1" x14ac:dyDescent="0.3">
      <c r="A8" s="127" t="s">
        <v>265</v>
      </c>
      <c r="B8" s="334"/>
      <c r="C8" s="335"/>
      <c r="D8" s="335"/>
      <c r="E8" s="335"/>
      <c r="F8" s="335"/>
      <c r="G8" s="335"/>
      <c r="H8" s="335"/>
      <c r="I8" s="335"/>
      <c r="J8" s="335"/>
      <c r="K8" s="335"/>
      <c r="L8" s="335"/>
      <c r="M8" s="335"/>
      <c r="N8" s="335"/>
      <c r="R8" s="92"/>
      <c r="T8" s="92"/>
      <c r="U8" s="333"/>
    </row>
    <row r="9" spans="1:25" ht="20" customHeight="1" x14ac:dyDescent="0.4">
      <c r="A9" s="127"/>
      <c r="B9" s="334"/>
      <c r="C9" s="335"/>
      <c r="D9" s="335"/>
      <c r="E9" s="335"/>
      <c r="F9" s="335"/>
      <c r="G9" s="335"/>
      <c r="H9" s="335"/>
      <c r="I9" s="335"/>
      <c r="J9" s="335"/>
      <c r="K9" s="335"/>
      <c r="L9" s="335"/>
      <c r="M9" s="335"/>
      <c r="N9" s="335"/>
      <c r="R9" s="92"/>
      <c r="T9" s="92"/>
      <c r="U9" s="391" t="s">
        <v>420</v>
      </c>
      <c r="V9" s="124"/>
      <c r="W9" s="124"/>
      <c r="X9" s="124"/>
    </row>
    <row r="10" spans="1:25" ht="20" customHeight="1" x14ac:dyDescent="0.4">
      <c r="A10" s="336" t="s">
        <v>421</v>
      </c>
      <c r="B10" s="337" t="s">
        <v>405</v>
      </c>
      <c r="C10" s="335"/>
      <c r="D10" s="335"/>
      <c r="E10" s="335"/>
      <c r="F10" s="335"/>
      <c r="G10" s="335"/>
      <c r="H10" s="335"/>
      <c r="I10" s="335"/>
      <c r="J10" s="335"/>
      <c r="K10" s="335"/>
      <c r="L10" s="335"/>
      <c r="M10" s="335"/>
      <c r="N10" s="335"/>
      <c r="R10" s="92"/>
      <c r="T10" s="92"/>
      <c r="U10" s="391" t="s">
        <v>499</v>
      </c>
      <c r="V10" s="124"/>
      <c r="W10" s="124"/>
      <c r="X10" s="124"/>
    </row>
    <row r="11" spans="1:25" ht="20" customHeight="1" x14ac:dyDescent="0.4">
      <c r="A11" s="336" t="s">
        <v>266</v>
      </c>
      <c r="B11" s="123" t="s">
        <v>208</v>
      </c>
      <c r="C11" s="335"/>
      <c r="D11" s="335"/>
      <c r="E11" s="335"/>
      <c r="F11" s="335"/>
      <c r="G11" s="335"/>
      <c r="H11" s="335"/>
      <c r="I11" s="335"/>
      <c r="J11" s="335"/>
      <c r="K11" s="335"/>
      <c r="L11" s="335"/>
      <c r="M11" s="335"/>
      <c r="N11" s="335"/>
      <c r="R11" s="92"/>
      <c r="T11" s="92"/>
      <c r="U11" s="391" t="s">
        <v>268</v>
      </c>
      <c r="V11" s="124"/>
      <c r="W11" s="124"/>
      <c r="X11" s="124"/>
    </row>
    <row r="12" spans="1:25" ht="20" customHeight="1" thickBot="1" x14ac:dyDescent="0.45">
      <c r="C12" s="335"/>
      <c r="D12" s="335"/>
      <c r="E12" s="335"/>
      <c r="F12" s="335"/>
      <c r="G12" s="335"/>
      <c r="H12" s="335"/>
      <c r="I12" s="335"/>
      <c r="J12" s="335"/>
      <c r="K12" s="335"/>
      <c r="L12" s="335"/>
      <c r="M12" s="335"/>
      <c r="N12" s="335"/>
      <c r="R12" s="92"/>
      <c r="T12" s="92"/>
      <c r="U12" s="391" t="s">
        <v>502</v>
      </c>
      <c r="V12" s="124"/>
      <c r="W12" s="124"/>
      <c r="X12" s="124"/>
    </row>
    <row r="13" spans="1:25" ht="15" customHeight="1" x14ac:dyDescent="0.3">
      <c r="A13" s="506" t="s">
        <v>422</v>
      </c>
      <c r="B13" s="509" t="s">
        <v>70</v>
      </c>
      <c r="C13" s="509" t="s">
        <v>61</v>
      </c>
      <c r="D13" s="512" t="s">
        <v>198</v>
      </c>
      <c r="E13" s="513"/>
      <c r="F13" s="513"/>
      <c r="G13" s="513"/>
      <c r="H13" s="513"/>
      <c r="I13" s="513"/>
      <c r="J13" s="513"/>
      <c r="K13" s="513"/>
      <c r="L13" s="513"/>
      <c r="M13" s="514"/>
      <c r="N13" s="518" t="s">
        <v>261</v>
      </c>
      <c r="O13" s="519"/>
      <c r="P13" s="519"/>
      <c r="Q13" s="520"/>
      <c r="R13" s="530" t="s">
        <v>11</v>
      </c>
      <c r="S13" s="530" t="s">
        <v>10</v>
      </c>
      <c r="T13" s="527" t="s">
        <v>425</v>
      </c>
      <c r="U13" s="498" t="s">
        <v>269</v>
      </c>
      <c r="V13" s="499"/>
      <c r="W13" s="495" t="s">
        <v>12</v>
      </c>
      <c r="X13" s="495" t="s">
        <v>13</v>
      </c>
    </row>
    <row r="14" spans="1:25" ht="15.75" customHeight="1" thickBot="1" x14ac:dyDescent="0.35">
      <c r="A14" s="507"/>
      <c r="B14" s="510"/>
      <c r="C14" s="510"/>
      <c r="D14" s="515"/>
      <c r="E14" s="516"/>
      <c r="F14" s="516"/>
      <c r="G14" s="516"/>
      <c r="H14" s="516"/>
      <c r="I14" s="516"/>
      <c r="J14" s="516"/>
      <c r="K14" s="516"/>
      <c r="L14" s="516"/>
      <c r="M14" s="517"/>
      <c r="N14" s="521"/>
      <c r="O14" s="522"/>
      <c r="P14" s="522"/>
      <c r="Q14" s="523"/>
      <c r="R14" s="531"/>
      <c r="S14" s="531"/>
      <c r="T14" s="528"/>
      <c r="U14" s="500"/>
      <c r="V14" s="501"/>
      <c r="W14" s="496"/>
      <c r="X14" s="496"/>
    </row>
    <row r="15" spans="1:25" ht="128.15" customHeight="1" thickBot="1" x14ac:dyDescent="0.4">
      <c r="A15" s="508"/>
      <c r="B15" s="511"/>
      <c r="C15" s="511"/>
      <c r="D15" s="129" t="s">
        <v>3</v>
      </c>
      <c r="E15" s="130" t="s">
        <v>262</v>
      </c>
      <c r="F15" s="130" t="s">
        <v>498</v>
      </c>
      <c r="G15" s="338" t="s">
        <v>4</v>
      </c>
      <c r="H15" s="131" t="s">
        <v>5</v>
      </c>
      <c r="I15" s="132" t="s">
        <v>496</v>
      </c>
      <c r="J15" s="98" t="s">
        <v>267</v>
      </c>
      <c r="K15" s="130" t="s">
        <v>6</v>
      </c>
      <c r="L15" s="130" t="s">
        <v>423</v>
      </c>
      <c r="M15" s="122" t="s">
        <v>424</v>
      </c>
      <c r="N15" s="133" t="s">
        <v>7</v>
      </c>
      <c r="O15" s="133" t="s">
        <v>8</v>
      </c>
      <c r="P15" s="133" t="s">
        <v>9</v>
      </c>
      <c r="Q15" s="133" t="s">
        <v>8</v>
      </c>
      <c r="R15" s="532"/>
      <c r="S15" s="532"/>
      <c r="T15" s="529"/>
      <c r="U15" s="135" t="s">
        <v>270</v>
      </c>
      <c r="V15" s="136" t="s">
        <v>271</v>
      </c>
      <c r="W15" s="497"/>
      <c r="X15" s="497"/>
    </row>
    <row r="16" spans="1:25" s="104" customFormat="1" ht="30" customHeight="1" x14ac:dyDescent="0.3">
      <c r="A16" s="13" t="s">
        <v>199</v>
      </c>
      <c r="B16" s="117">
        <v>2</v>
      </c>
      <c r="C16" s="118" t="s">
        <v>62</v>
      </c>
      <c r="D16" s="119">
        <v>1</v>
      </c>
      <c r="E16" s="3">
        <v>1</v>
      </c>
      <c r="F16" s="4" t="s">
        <v>101</v>
      </c>
      <c r="G16" s="1" t="s">
        <v>427</v>
      </c>
      <c r="H16" s="3">
        <v>3</v>
      </c>
      <c r="I16" s="3">
        <v>2.5</v>
      </c>
      <c r="J16" s="120">
        <f t="shared" ref="J16:J80" si="0">H16*I16*2</f>
        <v>15</v>
      </c>
      <c r="K16" s="5" t="s">
        <v>200</v>
      </c>
      <c r="L16" s="1" t="s">
        <v>17</v>
      </c>
      <c r="M16" s="9">
        <v>57.34</v>
      </c>
      <c r="N16" s="1" t="s">
        <v>18</v>
      </c>
      <c r="O16" s="10">
        <f>IF(N16="","ERREUR",VLOOKUP(N16,'ANX 1 - Légende - appd 2'!T:U,2,FALSE))</f>
        <v>1</v>
      </c>
      <c r="P16" s="1" t="s">
        <v>18</v>
      </c>
      <c r="Q16" s="11">
        <f>IF(P16="","ERREUR",VLOOKUP(P16,'ANX 1 - Légende - appd 2'!W:X,2,FALSE))</f>
        <v>1</v>
      </c>
      <c r="R16" s="106" t="s">
        <v>467</v>
      </c>
      <c r="S16" s="121">
        <f>IF(R16="","",VLOOKUP(R16,'ANX 1 - Légende - appd 2'!D:E,2,FALSE))</f>
        <v>0</v>
      </c>
      <c r="T16" s="52" t="s">
        <v>203</v>
      </c>
      <c r="U16" s="100">
        <f t="shared" ref="U16:U47" si="1">IF(A16="","",S16*M16)</f>
        <v>0</v>
      </c>
      <c r="V16" s="101">
        <f t="shared" ref="V16:V47" si="2">IF(A16="","",U16*O16*Q16)</f>
        <v>0</v>
      </c>
      <c r="W16" s="102">
        <f>IF(A16="","",VLOOKUP(G16,'ANX 1 - Légende - appd 2'!$M$10:$N$33,2,FALSE))</f>
        <v>180</v>
      </c>
      <c r="X16" s="103">
        <f t="shared" ref="X16:X47" si="3">IF(A16="","",IF(LEFT(R16,3)="Sur",0,IF(LEFT(R16,3)="non",0,IF(W16=0,0,(V16/W16)))))</f>
        <v>0</v>
      </c>
    </row>
    <row r="17" spans="1:24" s="104" customFormat="1" ht="30" customHeight="1" x14ac:dyDescent="0.3">
      <c r="A17" s="13" t="s">
        <v>199</v>
      </c>
      <c r="B17" s="23">
        <v>2</v>
      </c>
      <c r="C17" s="24" t="s">
        <v>62</v>
      </c>
      <c r="D17" s="91">
        <v>1</v>
      </c>
      <c r="E17" s="6">
        <v>1</v>
      </c>
      <c r="F17" s="8" t="s">
        <v>102</v>
      </c>
      <c r="G17" s="1" t="s">
        <v>427</v>
      </c>
      <c r="H17" s="6">
        <v>1</v>
      </c>
      <c r="I17" s="6">
        <v>1.44</v>
      </c>
      <c r="J17" s="120">
        <f t="shared" si="0"/>
        <v>2.88</v>
      </c>
      <c r="K17" s="22" t="s">
        <v>200</v>
      </c>
      <c r="L17" s="12" t="s">
        <v>17</v>
      </c>
      <c r="M17" s="93">
        <v>23.64</v>
      </c>
      <c r="N17" s="1" t="s">
        <v>18</v>
      </c>
      <c r="O17" s="10">
        <f>IF(N17="","ERREUR",VLOOKUP(N17,'ANX 1 - Légende - appd 2'!T:U,2,FALSE))</f>
        <v>1</v>
      </c>
      <c r="P17" s="1" t="s">
        <v>18</v>
      </c>
      <c r="Q17" s="11">
        <f>IF(P17="","ERREUR",VLOOKUP(P17,'ANX 1 - Légende - appd 2'!W:X,2,FALSE))</f>
        <v>1</v>
      </c>
      <c r="R17" s="106" t="s">
        <v>467</v>
      </c>
      <c r="S17" s="121">
        <f>IF(R17="","",VLOOKUP(R17,'ANX 1 - Légende - appd 2'!D:E,2,FALSE))</f>
        <v>0</v>
      </c>
      <c r="T17" s="105" t="s">
        <v>204</v>
      </c>
      <c r="U17" s="101">
        <f t="shared" si="1"/>
        <v>0</v>
      </c>
      <c r="V17" s="101">
        <f t="shared" si="2"/>
        <v>0</v>
      </c>
      <c r="W17" s="102">
        <f>IF(A17="","",VLOOKUP(G17,'ANX 1 - Légende - appd 2'!$M$10:$N$33,2,FALSE))</f>
        <v>180</v>
      </c>
      <c r="X17" s="103">
        <f t="shared" si="3"/>
        <v>0</v>
      </c>
    </row>
    <row r="18" spans="1:24" s="104" customFormat="1" ht="30" customHeight="1" x14ac:dyDescent="0.3">
      <c r="A18" s="13" t="s">
        <v>199</v>
      </c>
      <c r="B18" s="23">
        <v>1</v>
      </c>
      <c r="C18" s="24" t="s">
        <v>62</v>
      </c>
      <c r="D18" s="91">
        <v>1</v>
      </c>
      <c r="E18" s="3">
        <v>1</v>
      </c>
      <c r="F18" s="4" t="s">
        <v>181</v>
      </c>
      <c r="G18" s="5" t="s">
        <v>72</v>
      </c>
      <c r="H18" s="6">
        <v>0</v>
      </c>
      <c r="I18" s="6">
        <v>0</v>
      </c>
      <c r="J18" s="99">
        <f t="shared" si="0"/>
        <v>0</v>
      </c>
      <c r="K18" s="5" t="s">
        <v>34</v>
      </c>
      <c r="L18" s="12" t="s">
        <v>38</v>
      </c>
      <c r="M18" s="93">
        <v>39.96</v>
      </c>
      <c r="N18" s="1" t="s">
        <v>18</v>
      </c>
      <c r="O18" s="10">
        <f>IF(N18="","ERREUR",VLOOKUP(N18,'ANX 1 - Légende - appd 2'!T:U,2,FALSE))</f>
        <v>1</v>
      </c>
      <c r="P18" s="1" t="s">
        <v>18</v>
      </c>
      <c r="Q18" s="11">
        <f>IF(P18="","ERREUR",VLOOKUP(P18,'ANX 1 - Légende - appd 2'!W:X,2,FALSE))</f>
        <v>1</v>
      </c>
      <c r="R18" s="106" t="s">
        <v>249</v>
      </c>
      <c r="S18" s="121">
        <f>IF(R18="","",VLOOKUP(R18,'ANX 1 - Légende - appd 2'!D:E,2,FALSE))</f>
        <v>365</v>
      </c>
      <c r="T18" s="105" t="s">
        <v>188</v>
      </c>
      <c r="U18" s="101">
        <f t="shared" si="1"/>
        <v>14585.4</v>
      </c>
      <c r="V18" s="101">
        <f t="shared" si="2"/>
        <v>14585.4</v>
      </c>
      <c r="W18" s="102">
        <f>IF(A18="","",VLOOKUP(G18,'ANX 1 - Légende - appd 2'!$M$10:$N$33,2,FALSE))</f>
        <v>250</v>
      </c>
      <c r="X18" s="103">
        <f t="shared" si="3"/>
        <v>58.3416</v>
      </c>
    </row>
    <row r="19" spans="1:24" s="104" customFormat="1" ht="30" customHeight="1" x14ac:dyDescent="0.3">
      <c r="A19" s="13" t="s">
        <v>199</v>
      </c>
      <c r="B19" s="23">
        <v>1</v>
      </c>
      <c r="C19" s="24" t="s">
        <v>62</v>
      </c>
      <c r="D19" s="91">
        <v>1</v>
      </c>
      <c r="E19" s="3">
        <v>1</v>
      </c>
      <c r="F19" s="4" t="s">
        <v>125</v>
      </c>
      <c r="G19" s="2" t="s">
        <v>72</v>
      </c>
      <c r="H19" s="6">
        <v>0</v>
      </c>
      <c r="I19" s="6">
        <v>0</v>
      </c>
      <c r="J19" s="99">
        <f t="shared" si="0"/>
        <v>0</v>
      </c>
      <c r="K19" s="5" t="s">
        <v>34</v>
      </c>
      <c r="L19" s="12" t="s">
        <v>38</v>
      </c>
      <c r="M19" s="93">
        <v>30.05</v>
      </c>
      <c r="N19" s="1" t="s">
        <v>18</v>
      </c>
      <c r="O19" s="10">
        <f>IF(N19="","ERREUR",VLOOKUP(N19,'ANX 1 - Légende - appd 2'!T:U,2,FALSE))</f>
        <v>1</v>
      </c>
      <c r="P19" s="1" t="s">
        <v>18</v>
      </c>
      <c r="Q19" s="11">
        <f>IF(P19="","ERREUR",VLOOKUP(P19,'ANX 1 - Légende - appd 2'!W:X,2,FALSE))</f>
        <v>1</v>
      </c>
      <c r="R19" s="106" t="s">
        <v>249</v>
      </c>
      <c r="S19" s="121">
        <f>IF(R19="","",VLOOKUP(R19,'ANX 1 - Légende - appd 2'!D:E,2,FALSE))</f>
        <v>365</v>
      </c>
      <c r="T19" s="105" t="s">
        <v>187</v>
      </c>
      <c r="U19" s="101">
        <f t="shared" si="1"/>
        <v>10968.25</v>
      </c>
      <c r="V19" s="101">
        <f t="shared" si="2"/>
        <v>10968.25</v>
      </c>
      <c r="W19" s="102">
        <f>IF(A19="","",VLOOKUP(G19,'ANX 1 - Légende - appd 2'!$M$10:$N$33,2,FALSE))</f>
        <v>250</v>
      </c>
      <c r="X19" s="103">
        <f t="shared" si="3"/>
        <v>43.872999999999998</v>
      </c>
    </row>
    <row r="20" spans="1:24" s="104" customFormat="1" ht="30" customHeight="1" x14ac:dyDescent="0.3">
      <c r="A20" s="13" t="s">
        <v>199</v>
      </c>
      <c r="B20" s="23">
        <v>1</v>
      </c>
      <c r="C20" s="24" t="s">
        <v>62</v>
      </c>
      <c r="D20" s="91">
        <v>1</v>
      </c>
      <c r="E20" s="3">
        <v>1</v>
      </c>
      <c r="F20" s="4" t="s">
        <v>126</v>
      </c>
      <c r="G20" s="5" t="s">
        <v>14</v>
      </c>
      <c r="H20" s="6">
        <v>0</v>
      </c>
      <c r="I20" s="6">
        <v>0</v>
      </c>
      <c r="J20" s="99">
        <f t="shared" si="0"/>
        <v>0</v>
      </c>
      <c r="K20" s="22" t="s">
        <v>16</v>
      </c>
      <c r="L20" s="12" t="s">
        <v>17</v>
      </c>
      <c r="M20" s="93">
        <v>25.7</v>
      </c>
      <c r="N20" s="1" t="s">
        <v>18</v>
      </c>
      <c r="O20" s="10">
        <f>IF(N20="","ERREUR",VLOOKUP(N20,'ANX 1 - Légende - appd 2'!T:U,2,FALSE))</f>
        <v>1</v>
      </c>
      <c r="P20" s="1" t="s">
        <v>18</v>
      </c>
      <c r="Q20" s="11">
        <f>IF(P20="","ERREUR",VLOOKUP(P20,'ANX 1 - Légende - appd 2'!W:X,2,FALSE))</f>
        <v>1</v>
      </c>
      <c r="R20" s="106" t="s">
        <v>466</v>
      </c>
      <c r="S20" s="121">
        <f>IF(R20="","",VLOOKUP(R20,'ANX 1 - Légende - appd 2'!D:E,2,FALSE))</f>
        <v>0</v>
      </c>
      <c r="T20" s="105" t="s">
        <v>506</v>
      </c>
      <c r="U20" s="101">
        <f t="shared" si="1"/>
        <v>0</v>
      </c>
      <c r="V20" s="101">
        <f t="shared" si="2"/>
        <v>0</v>
      </c>
      <c r="W20" s="102">
        <f>IF(A20="","",VLOOKUP(G20,'ANX 1 - Légende - appd 2'!$M$10:$N$33,2,FALSE))</f>
        <v>250</v>
      </c>
      <c r="X20" s="103">
        <f t="shared" si="3"/>
        <v>0</v>
      </c>
    </row>
    <row r="21" spans="1:24" s="104" customFormat="1" ht="30" customHeight="1" x14ac:dyDescent="0.3">
      <c r="A21" s="13" t="s">
        <v>199</v>
      </c>
      <c r="B21" s="23">
        <v>1</v>
      </c>
      <c r="C21" s="24" t="s">
        <v>62</v>
      </c>
      <c r="D21" s="91">
        <v>1</v>
      </c>
      <c r="E21" s="6">
        <v>2</v>
      </c>
      <c r="F21" s="4" t="s">
        <v>127</v>
      </c>
      <c r="G21" s="5" t="s">
        <v>14</v>
      </c>
      <c r="H21" s="6">
        <v>0</v>
      </c>
      <c r="I21" s="6">
        <v>0</v>
      </c>
      <c r="J21" s="99">
        <f t="shared" si="0"/>
        <v>0</v>
      </c>
      <c r="K21" s="22" t="s">
        <v>16</v>
      </c>
      <c r="L21" s="12" t="s">
        <v>17</v>
      </c>
      <c r="M21" s="93">
        <v>2.5</v>
      </c>
      <c r="N21" s="1" t="s">
        <v>18</v>
      </c>
      <c r="O21" s="10">
        <f>IF(N21="","ERREUR",VLOOKUP(N21,'ANX 1 - Légende - appd 2'!T:U,2,FALSE))</f>
        <v>1</v>
      </c>
      <c r="P21" s="1" t="s">
        <v>18</v>
      </c>
      <c r="Q21" s="11">
        <f>IF(P21="","ERREUR",VLOOKUP(P21,'ANX 1 - Légende - appd 2'!W:X,2,FALSE))</f>
        <v>1</v>
      </c>
      <c r="R21" s="394" t="s">
        <v>26</v>
      </c>
      <c r="S21" s="395">
        <f>IF(R21="","",VLOOKUP(R21,'ANX 1 - Légende - appd 2'!D:E,2,FALSE))</f>
        <v>12</v>
      </c>
      <c r="T21" s="105" t="s">
        <v>189</v>
      </c>
      <c r="U21" s="101">
        <f t="shared" si="1"/>
        <v>30</v>
      </c>
      <c r="V21" s="101">
        <f t="shared" si="2"/>
        <v>30</v>
      </c>
      <c r="W21" s="102">
        <f>IF(A21="","",VLOOKUP(G21,'ANX 1 - Légende - appd 2'!$M$10:$N$33,2,FALSE))</f>
        <v>250</v>
      </c>
      <c r="X21" s="103">
        <f t="shared" si="3"/>
        <v>0.12</v>
      </c>
    </row>
    <row r="22" spans="1:24" s="104" customFormat="1" ht="30" customHeight="1" x14ac:dyDescent="0.3">
      <c r="A22" s="13" t="s">
        <v>199</v>
      </c>
      <c r="B22" s="23">
        <v>1</v>
      </c>
      <c r="C22" s="24" t="s">
        <v>62</v>
      </c>
      <c r="D22" s="91">
        <v>1</v>
      </c>
      <c r="E22" s="6">
        <v>2</v>
      </c>
      <c r="F22" s="4" t="s">
        <v>128</v>
      </c>
      <c r="G22" s="5" t="s">
        <v>14</v>
      </c>
      <c r="H22" s="6">
        <v>2</v>
      </c>
      <c r="I22" s="6">
        <v>1.82</v>
      </c>
      <c r="J22" s="99">
        <f t="shared" si="0"/>
        <v>7.28</v>
      </c>
      <c r="K22" s="22" t="s">
        <v>200</v>
      </c>
      <c r="L22" s="12" t="s">
        <v>17</v>
      </c>
      <c r="M22" s="93">
        <v>6.08</v>
      </c>
      <c r="N22" s="1" t="s">
        <v>18</v>
      </c>
      <c r="O22" s="10">
        <f>IF(N22="","ERREUR",VLOOKUP(N22,'ANX 1 - Légende - appd 2'!T:U,2,FALSE))</f>
        <v>1</v>
      </c>
      <c r="P22" s="1" t="s">
        <v>18</v>
      </c>
      <c r="Q22" s="11">
        <f>IF(P22="","ERREUR",VLOOKUP(P22,'ANX 1 - Légende - appd 2'!W:X,2,FALSE))</f>
        <v>1</v>
      </c>
      <c r="R22" s="106" t="s">
        <v>26</v>
      </c>
      <c r="S22" s="121">
        <f>IF(R22="","",VLOOKUP(R22,'ANX 1 - Légende - appd 2'!D:E,2,FALSE))</f>
        <v>12</v>
      </c>
      <c r="T22" s="105" t="s">
        <v>190</v>
      </c>
      <c r="U22" s="101">
        <f t="shared" si="1"/>
        <v>72.960000000000008</v>
      </c>
      <c r="V22" s="101">
        <f t="shared" si="2"/>
        <v>72.960000000000008</v>
      </c>
      <c r="W22" s="102">
        <f>IF(A22="","",VLOOKUP(G22,'ANX 1 - Légende - appd 2'!$M$10:$N$33,2,FALSE))</f>
        <v>250</v>
      </c>
      <c r="X22" s="103">
        <f t="shared" si="3"/>
        <v>0.29184000000000004</v>
      </c>
    </row>
    <row r="23" spans="1:24" s="104" customFormat="1" ht="30" customHeight="1" x14ac:dyDescent="0.3">
      <c r="A23" s="13" t="s">
        <v>199</v>
      </c>
      <c r="B23" s="23">
        <v>2</v>
      </c>
      <c r="C23" s="24" t="s">
        <v>62</v>
      </c>
      <c r="D23" s="91">
        <v>1</v>
      </c>
      <c r="E23" s="6">
        <v>2</v>
      </c>
      <c r="F23" s="8" t="s">
        <v>129</v>
      </c>
      <c r="G23" s="1" t="s">
        <v>427</v>
      </c>
      <c r="H23" s="6">
        <v>1</v>
      </c>
      <c r="I23" s="6">
        <v>1.44</v>
      </c>
      <c r="J23" s="99">
        <f t="shared" si="0"/>
        <v>2.88</v>
      </c>
      <c r="K23" s="22" t="s">
        <v>200</v>
      </c>
      <c r="L23" s="12" t="s">
        <v>17</v>
      </c>
      <c r="M23" s="93">
        <v>17.68</v>
      </c>
      <c r="N23" s="1" t="s">
        <v>18</v>
      </c>
      <c r="O23" s="10">
        <f>IF(N23="","ERREUR",VLOOKUP(N23,'ANX 1 - Légende - appd 2'!T:U,2,FALSE))</f>
        <v>1</v>
      </c>
      <c r="P23" s="1" t="s">
        <v>18</v>
      </c>
      <c r="Q23" s="11">
        <f>IF(P23="","ERREUR",VLOOKUP(P23,'ANX 1 - Légende - appd 2'!W:X,2,FALSE))</f>
        <v>1</v>
      </c>
      <c r="R23" s="106" t="s">
        <v>467</v>
      </c>
      <c r="S23" s="121">
        <f>IF(R23="","",VLOOKUP(R23,'ANX 1 - Légende - appd 2'!D:E,2,FALSE))</f>
        <v>0</v>
      </c>
      <c r="T23" s="105" t="s">
        <v>205</v>
      </c>
      <c r="U23" s="101">
        <f t="shared" si="1"/>
        <v>0</v>
      </c>
      <c r="V23" s="101">
        <f t="shared" si="2"/>
        <v>0</v>
      </c>
      <c r="W23" s="102">
        <f>IF(A23="","",VLOOKUP(G23,'ANX 1 - Légende - appd 2'!$M$10:$N$33,2,FALSE))</f>
        <v>180</v>
      </c>
      <c r="X23" s="103">
        <f t="shared" si="3"/>
        <v>0</v>
      </c>
    </row>
    <row r="24" spans="1:24" s="104" customFormat="1" ht="30" customHeight="1" x14ac:dyDescent="0.3">
      <c r="A24" s="13" t="s">
        <v>199</v>
      </c>
      <c r="B24" s="23">
        <v>2</v>
      </c>
      <c r="C24" s="24" t="s">
        <v>62</v>
      </c>
      <c r="D24" s="91">
        <v>1</v>
      </c>
      <c r="E24" s="6">
        <v>2</v>
      </c>
      <c r="F24" s="8" t="s">
        <v>130</v>
      </c>
      <c r="G24" s="1" t="s">
        <v>427</v>
      </c>
      <c r="H24" s="6">
        <v>1</v>
      </c>
      <c r="I24" s="6">
        <v>1.44</v>
      </c>
      <c r="J24" s="99">
        <f t="shared" si="0"/>
        <v>2.88</v>
      </c>
      <c r="K24" s="22" t="s">
        <v>200</v>
      </c>
      <c r="L24" s="12" t="s">
        <v>17</v>
      </c>
      <c r="M24" s="93">
        <v>25.26</v>
      </c>
      <c r="N24" s="1" t="s">
        <v>18</v>
      </c>
      <c r="O24" s="10">
        <f>IF(N24="","ERREUR",VLOOKUP(N24,'ANX 1 - Légende - appd 2'!T:U,2,FALSE))</f>
        <v>1</v>
      </c>
      <c r="P24" s="1" t="s">
        <v>18</v>
      </c>
      <c r="Q24" s="11">
        <f>IF(P24="","ERREUR",VLOOKUP(P24,'ANX 1 - Légende - appd 2'!W:X,2,FALSE))</f>
        <v>1</v>
      </c>
      <c r="R24" s="106" t="s">
        <v>467</v>
      </c>
      <c r="S24" s="121">
        <f>IF(R24="","",VLOOKUP(R24,'ANX 1 - Légende - appd 2'!D:E,2,FALSE))</f>
        <v>0</v>
      </c>
      <c r="T24" s="105" t="s">
        <v>256</v>
      </c>
      <c r="U24" s="101">
        <f t="shared" si="1"/>
        <v>0</v>
      </c>
      <c r="V24" s="101">
        <f t="shared" si="2"/>
        <v>0</v>
      </c>
      <c r="W24" s="102">
        <f>IF(A24="","",VLOOKUP(G24,'ANX 1 - Légende - appd 2'!$M$10:$N$33,2,FALSE))</f>
        <v>180</v>
      </c>
      <c r="X24" s="103">
        <f t="shared" si="3"/>
        <v>0</v>
      </c>
    </row>
    <row r="25" spans="1:24" s="104" customFormat="1" ht="30" customHeight="1" x14ac:dyDescent="0.3">
      <c r="A25" s="13" t="s">
        <v>199</v>
      </c>
      <c r="B25" s="117">
        <v>2</v>
      </c>
      <c r="C25" s="118" t="s">
        <v>62</v>
      </c>
      <c r="D25" s="119">
        <v>1</v>
      </c>
      <c r="E25" s="3">
        <v>2</v>
      </c>
      <c r="F25" s="4" t="s">
        <v>209</v>
      </c>
      <c r="G25" s="1" t="s">
        <v>427</v>
      </c>
      <c r="H25" s="3">
        <v>2</v>
      </c>
      <c r="I25" s="3">
        <v>2.5</v>
      </c>
      <c r="J25" s="99">
        <f t="shared" si="0"/>
        <v>10</v>
      </c>
      <c r="K25" s="5" t="s">
        <v>200</v>
      </c>
      <c r="L25" s="1" t="s">
        <v>17</v>
      </c>
      <c r="M25" s="9">
        <v>22.82</v>
      </c>
      <c r="N25" s="1" t="s">
        <v>18</v>
      </c>
      <c r="O25" s="10">
        <f>IF(N25="","ERREUR",VLOOKUP(N25,'ANX 1 - Légende - appd 2'!T:U,2,FALSE))</f>
        <v>1</v>
      </c>
      <c r="P25" s="1" t="s">
        <v>18</v>
      </c>
      <c r="Q25" s="11">
        <f>IF(P25="","ERREUR",VLOOKUP(P25,'ANX 1 - Légende - appd 2'!W:X,2,FALSE))</f>
        <v>1</v>
      </c>
      <c r="R25" s="106" t="s">
        <v>467</v>
      </c>
      <c r="S25" s="121">
        <f>IF(R25="","",VLOOKUP(R25,'ANX 1 - Légende - appd 2'!D:E,2,FALSE))</f>
        <v>0</v>
      </c>
      <c r="T25" s="52" t="s">
        <v>254</v>
      </c>
      <c r="U25" s="101">
        <f t="shared" si="1"/>
        <v>0</v>
      </c>
      <c r="V25" s="101">
        <f t="shared" si="2"/>
        <v>0</v>
      </c>
      <c r="W25" s="102">
        <f>IF(A25="","",VLOOKUP(G25,'ANX 1 - Légende - appd 2'!$M$10:$N$33,2,FALSE))</f>
        <v>180</v>
      </c>
      <c r="X25" s="103">
        <f t="shared" si="3"/>
        <v>0</v>
      </c>
    </row>
    <row r="26" spans="1:24" s="104" customFormat="1" ht="30" customHeight="1" x14ac:dyDescent="0.3">
      <c r="A26" s="13" t="s">
        <v>199</v>
      </c>
      <c r="B26" s="117">
        <v>2</v>
      </c>
      <c r="C26" s="118" t="s">
        <v>62</v>
      </c>
      <c r="D26" s="119">
        <v>1</v>
      </c>
      <c r="E26" s="3">
        <v>2</v>
      </c>
      <c r="F26" s="4" t="s">
        <v>131</v>
      </c>
      <c r="G26" s="1" t="s">
        <v>427</v>
      </c>
      <c r="H26" s="3">
        <v>2</v>
      </c>
      <c r="I26" s="3">
        <v>2.5</v>
      </c>
      <c r="J26" s="99">
        <f t="shared" si="0"/>
        <v>10</v>
      </c>
      <c r="K26" s="5" t="s">
        <v>200</v>
      </c>
      <c r="L26" s="1" t="s">
        <v>17</v>
      </c>
      <c r="M26" s="9">
        <v>31.96</v>
      </c>
      <c r="N26" s="1" t="s">
        <v>18</v>
      </c>
      <c r="O26" s="10">
        <f>IF(N26="","ERREUR",VLOOKUP(N26,'ANX 1 - Légende - appd 2'!T:U,2,FALSE))</f>
        <v>1</v>
      </c>
      <c r="P26" s="1" t="s">
        <v>18</v>
      </c>
      <c r="Q26" s="11">
        <f>IF(P26="","ERREUR",VLOOKUP(P26,'ANX 1 - Légende - appd 2'!W:X,2,FALSE))</f>
        <v>1</v>
      </c>
      <c r="R26" s="106" t="s">
        <v>467</v>
      </c>
      <c r="S26" s="121">
        <f>IF(R26="","",VLOOKUP(R26,'ANX 1 - Légende - appd 2'!D:E,2,FALSE))</f>
        <v>0</v>
      </c>
      <c r="T26" s="52" t="s">
        <v>255</v>
      </c>
      <c r="U26" s="101">
        <f t="shared" si="1"/>
        <v>0</v>
      </c>
      <c r="V26" s="101">
        <f t="shared" si="2"/>
        <v>0</v>
      </c>
      <c r="W26" s="102">
        <f>IF(A26="","",VLOOKUP(G26,'ANX 1 - Légende - appd 2'!$M$10:$N$33,2,FALSE))</f>
        <v>180</v>
      </c>
      <c r="X26" s="103">
        <f t="shared" si="3"/>
        <v>0</v>
      </c>
    </row>
    <row r="27" spans="1:24" s="104" customFormat="1" ht="30" customHeight="1" x14ac:dyDescent="0.3">
      <c r="A27" s="13" t="s">
        <v>199</v>
      </c>
      <c r="B27" s="23">
        <v>2</v>
      </c>
      <c r="C27" s="24" t="s">
        <v>62</v>
      </c>
      <c r="D27" s="91">
        <v>1</v>
      </c>
      <c r="E27" s="6">
        <v>2</v>
      </c>
      <c r="F27" s="8" t="s">
        <v>132</v>
      </c>
      <c r="G27" s="1" t="s">
        <v>427</v>
      </c>
      <c r="H27" s="6">
        <v>1</v>
      </c>
      <c r="I27" s="6">
        <v>1.44</v>
      </c>
      <c r="J27" s="99">
        <f t="shared" si="0"/>
        <v>2.88</v>
      </c>
      <c r="K27" s="22" t="s">
        <v>200</v>
      </c>
      <c r="L27" s="12" t="s">
        <v>17</v>
      </c>
      <c r="M27" s="93">
        <v>34.369999999999997</v>
      </c>
      <c r="N27" s="1" t="s">
        <v>18</v>
      </c>
      <c r="O27" s="10">
        <f>IF(N27="","ERREUR",VLOOKUP(N27,'ANX 1 - Légende - appd 2'!T:U,2,FALSE))</f>
        <v>1</v>
      </c>
      <c r="P27" s="1" t="s">
        <v>18</v>
      </c>
      <c r="Q27" s="11">
        <f>IF(P27="","ERREUR",VLOOKUP(P27,'ANX 1 - Légende - appd 2'!W:X,2,FALSE))</f>
        <v>1</v>
      </c>
      <c r="R27" s="106" t="s">
        <v>467</v>
      </c>
      <c r="S27" s="121">
        <f>IF(R27="","",VLOOKUP(R27,'ANX 1 - Légende - appd 2'!D:E,2,FALSE))</f>
        <v>0</v>
      </c>
      <c r="T27" s="105" t="s">
        <v>257</v>
      </c>
      <c r="U27" s="101">
        <f t="shared" si="1"/>
        <v>0</v>
      </c>
      <c r="V27" s="101">
        <f t="shared" si="2"/>
        <v>0</v>
      </c>
      <c r="W27" s="102">
        <f>IF(A27="","",VLOOKUP(G27,'ANX 1 - Légende - appd 2'!$M$10:$N$33,2,FALSE))</f>
        <v>180</v>
      </c>
      <c r="X27" s="103">
        <f t="shared" si="3"/>
        <v>0</v>
      </c>
    </row>
    <row r="28" spans="1:24" s="104" customFormat="1" ht="30" customHeight="1" x14ac:dyDescent="0.3">
      <c r="A28" s="13" t="s">
        <v>199</v>
      </c>
      <c r="B28" s="23">
        <v>2</v>
      </c>
      <c r="C28" s="24" t="s">
        <v>62</v>
      </c>
      <c r="D28" s="91">
        <v>1</v>
      </c>
      <c r="E28" s="6">
        <v>2</v>
      </c>
      <c r="F28" s="8" t="s">
        <v>133</v>
      </c>
      <c r="G28" s="1" t="s">
        <v>427</v>
      </c>
      <c r="H28" s="6">
        <v>1</v>
      </c>
      <c r="I28" s="6">
        <v>1.44</v>
      </c>
      <c r="J28" s="99">
        <f t="shared" si="0"/>
        <v>2.88</v>
      </c>
      <c r="K28" s="22" t="s">
        <v>200</v>
      </c>
      <c r="L28" s="12" t="s">
        <v>17</v>
      </c>
      <c r="M28" s="93">
        <v>29.18</v>
      </c>
      <c r="N28" s="1" t="s">
        <v>18</v>
      </c>
      <c r="O28" s="10">
        <f>IF(N28="","ERREUR",VLOOKUP(N28,'ANX 1 - Légende - appd 2'!T:U,2,FALSE))</f>
        <v>1</v>
      </c>
      <c r="P28" s="1" t="s">
        <v>18</v>
      </c>
      <c r="Q28" s="11">
        <f>IF(P28="","ERREUR",VLOOKUP(P28,'ANX 1 - Légende - appd 2'!W:X,2,FALSE))</f>
        <v>1</v>
      </c>
      <c r="R28" s="106" t="s">
        <v>467</v>
      </c>
      <c r="S28" s="121">
        <f>IF(R28="","",VLOOKUP(R28,'ANX 1 - Légende - appd 2'!D:E,2,FALSE))</f>
        <v>0</v>
      </c>
      <c r="T28" s="105" t="s">
        <v>257</v>
      </c>
      <c r="U28" s="101">
        <f t="shared" si="1"/>
        <v>0</v>
      </c>
      <c r="V28" s="101">
        <f t="shared" si="2"/>
        <v>0</v>
      </c>
      <c r="W28" s="102">
        <f>IF(A28="","",VLOOKUP(G28,'ANX 1 - Légende - appd 2'!$M$10:$N$33,2,FALSE))</f>
        <v>180</v>
      </c>
      <c r="X28" s="103">
        <f t="shared" si="3"/>
        <v>0</v>
      </c>
    </row>
    <row r="29" spans="1:24" ht="30" customHeight="1" x14ac:dyDescent="0.3">
      <c r="A29" s="13" t="s">
        <v>199</v>
      </c>
      <c r="B29" s="23">
        <v>2</v>
      </c>
      <c r="C29" s="24" t="s">
        <v>62</v>
      </c>
      <c r="D29" s="91">
        <v>1</v>
      </c>
      <c r="E29" s="6">
        <v>2</v>
      </c>
      <c r="F29" s="8" t="s">
        <v>134</v>
      </c>
      <c r="G29" s="1" t="s">
        <v>427</v>
      </c>
      <c r="H29" s="6">
        <v>1</v>
      </c>
      <c r="I29" s="6">
        <v>1.44</v>
      </c>
      <c r="J29" s="99">
        <f t="shared" si="0"/>
        <v>2.88</v>
      </c>
      <c r="K29" s="22" t="s">
        <v>200</v>
      </c>
      <c r="L29" s="12" t="s">
        <v>17</v>
      </c>
      <c r="M29" s="93">
        <v>33.19</v>
      </c>
      <c r="N29" s="1" t="s">
        <v>18</v>
      </c>
      <c r="O29" s="10">
        <f>IF(N29="","ERREUR",VLOOKUP(N29,'ANX 1 - Légende - appd 2'!T:U,2,FALSE))</f>
        <v>1</v>
      </c>
      <c r="P29" s="1" t="s">
        <v>18</v>
      </c>
      <c r="Q29" s="11">
        <f>IF(P29="","ERREUR",VLOOKUP(P29,'ANX 1 - Légende - appd 2'!W:X,2,FALSE))</f>
        <v>1</v>
      </c>
      <c r="R29" s="106" t="s">
        <v>467</v>
      </c>
      <c r="S29" s="121">
        <f>IF(R29="","",VLOOKUP(R29,'ANX 1 - Légende - appd 2'!D:E,2,FALSE))</f>
        <v>0</v>
      </c>
      <c r="T29" s="105" t="s">
        <v>257</v>
      </c>
      <c r="U29" s="101">
        <f t="shared" si="1"/>
        <v>0</v>
      </c>
      <c r="V29" s="101">
        <f t="shared" si="2"/>
        <v>0</v>
      </c>
      <c r="W29" s="102">
        <f>IF(A29="","",VLOOKUP(G29,'ANX 1 - Légende - appd 2'!$M$10:$N$33,2,FALSE))</f>
        <v>180</v>
      </c>
      <c r="X29" s="103">
        <f t="shared" si="3"/>
        <v>0</v>
      </c>
    </row>
    <row r="30" spans="1:24" ht="30" customHeight="1" x14ac:dyDescent="0.3">
      <c r="A30" s="13" t="s">
        <v>199</v>
      </c>
      <c r="B30" s="23">
        <v>2</v>
      </c>
      <c r="C30" s="24" t="s">
        <v>62</v>
      </c>
      <c r="D30" s="91">
        <v>1</v>
      </c>
      <c r="E30" s="6">
        <v>2</v>
      </c>
      <c r="F30" s="8" t="s">
        <v>135</v>
      </c>
      <c r="G30" s="1" t="s">
        <v>427</v>
      </c>
      <c r="H30" s="6">
        <v>1</v>
      </c>
      <c r="I30" s="6">
        <v>1.44</v>
      </c>
      <c r="J30" s="99">
        <f t="shared" si="0"/>
        <v>2.88</v>
      </c>
      <c r="K30" s="22" t="s">
        <v>200</v>
      </c>
      <c r="L30" s="12" t="s">
        <v>17</v>
      </c>
      <c r="M30" s="93">
        <v>37.57</v>
      </c>
      <c r="N30" s="1" t="s">
        <v>18</v>
      </c>
      <c r="O30" s="10">
        <f>IF(N30="","ERREUR",VLOOKUP(N30,'ANX 1 - Légende - appd 2'!T:U,2,FALSE))</f>
        <v>1</v>
      </c>
      <c r="P30" s="1" t="s">
        <v>18</v>
      </c>
      <c r="Q30" s="11">
        <f>IF(P30="","ERREUR",VLOOKUP(P30,'ANX 1 - Légende - appd 2'!W:X,2,FALSE))</f>
        <v>1</v>
      </c>
      <c r="R30" s="106" t="s">
        <v>467</v>
      </c>
      <c r="S30" s="121">
        <f>IF(R30="","",VLOOKUP(R30,'ANX 1 - Légende - appd 2'!D:E,2,FALSE))</f>
        <v>0</v>
      </c>
      <c r="T30" s="105" t="s">
        <v>258</v>
      </c>
      <c r="U30" s="101">
        <f t="shared" si="1"/>
        <v>0</v>
      </c>
      <c r="V30" s="101">
        <f t="shared" si="2"/>
        <v>0</v>
      </c>
      <c r="W30" s="102">
        <f>IF(A30="","",VLOOKUP(G30,'ANX 1 - Légende - appd 2'!$M$10:$N$33,2,FALSE))</f>
        <v>180</v>
      </c>
      <c r="X30" s="103">
        <f t="shared" si="3"/>
        <v>0</v>
      </c>
    </row>
    <row r="31" spans="1:24" ht="30" customHeight="1" x14ac:dyDescent="0.3">
      <c r="A31" s="13" t="s">
        <v>199</v>
      </c>
      <c r="B31" s="23">
        <v>2</v>
      </c>
      <c r="C31" s="24" t="s">
        <v>62</v>
      </c>
      <c r="D31" s="91">
        <v>1</v>
      </c>
      <c r="E31" s="6">
        <v>2</v>
      </c>
      <c r="F31" s="8" t="s">
        <v>136</v>
      </c>
      <c r="G31" s="1" t="s">
        <v>427</v>
      </c>
      <c r="H31" s="6">
        <v>1</v>
      </c>
      <c r="I31" s="6">
        <v>1.44</v>
      </c>
      <c r="J31" s="99">
        <f t="shared" si="0"/>
        <v>2.88</v>
      </c>
      <c r="K31" s="22" t="s">
        <v>200</v>
      </c>
      <c r="L31" s="12" t="s">
        <v>17</v>
      </c>
      <c r="M31" s="93">
        <v>30.75</v>
      </c>
      <c r="N31" s="1" t="s">
        <v>18</v>
      </c>
      <c r="O31" s="10">
        <f>IF(N31="","ERREUR",VLOOKUP(N31,'ANX 1 - Légende - appd 2'!T:U,2,FALSE))</f>
        <v>1</v>
      </c>
      <c r="P31" s="1" t="s">
        <v>18</v>
      </c>
      <c r="Q31" s="11">
        <f>IF(P31="","ERREUR",VLOOKUP(P31,'ANX 1 - Légende - appd 2'!W:X,2,FALSE))</f>
        <v>1</v>
      </c>
      <c r="R31" s="106" t="s">
        <v>467</v>
      </c>
      <c r="S31" s="121">
        <f>IF(R31="","",VLOOKUP(R31,'ANX 1 - Légende - appd 2'!D:E,2,FALSE))</f>
        <v>0</v>
      </c>
      <c r="T31" s="105" t="s">
        <v>257</v>
      </c>
      <c r="U31" s="101">
        <f t="shared" si="1"/>
        <v>0</v>
      </c>
      <c r="V31" s="101">
        <f t="shared" si="2"/>
        <v>0</v>
      </c>
      <c r="W31" s="102">
        <f>IF(A31="","",VLOOKUP(G31,'ANX 1 - Légende - appd 2'!$M$10:$N$33,2,FALSE))</f>
        <v>180</v>
      </c>
      <c r="X31" s="103">
        <f t="shared" si="3"/>
        <v>0</v>
      </c>
    </row>
    <row r="32" spans="1:24" ht="30" customHeight="1" x14ac:dyDescent="0.3">
      <c r="A32" s="13" t="s">
        <v>199</v>
      </c>
      <c r="B32" s="23">
        <v>2</v>
      </c>
      <c r="C32" s="24" t="s">
        <v>62</v>
      </c>
      <c r="D32" s="91">
        <v>1</v>
      </c>
      <c r="E32" s="6">
        <v>2</v>
      </c>
      <c r="F32" s="8" t="s">
        <v>137</v>
      </c>
      <c r="G32" s="1" t="s">
        <v>427</v>
      </c>
      <c r="H32" s="6">
        <v>1</v>
      </c>
      <c r="I32" s="6">
        <v>1.44</v>
      </c>
      <c r="J32" s="99">
        <f t="shared" si="0"/>
        <v>2.88</v>
      </c>
      <c r="K32" s="22" t="s">
        <v>200</v>
      </c>
      <c r="L32" s="12" t="s">
        <v>17</v>
      </c>
      <c r="M32" s="93">
        <v>33.14</v>
      </c>
      <c r="N32" s="1" t="s">
        <v>18</v>
      </c>
      <c r="O32" s="10">
        <f>IF(N32="","ERREUR",VLOOKUP(N32,'ANX 1 - Légende - appd 2'!T:U,2,FALSE))</f>
        <v>1</v>
      </c>
      <c r="P32" s="1" t="s">
        <v>18</v>
      </c>
      <c r="Q32" s="11">
        <f>IF(P32="","ERREUR",VLOOKUP(P32,'ANX 1 - Légende - appd 2'!W:X,2,FALSE))</f>
        <v>1</v>
      </c>
      <c r="R32" s="106" t="s">
        <v>467</v>
      </c>
      <c r="S32" s="121">
        <f>IF(R32="","",VLOOKUP(R32,'ANX 1 - Légende - appd 2'!D:E,2,FALSE))</f>
        <v>0</v>
      </c>
      <c r="T32" s="105" t="s">
        <v>257</v>
      </c>
      <c r="U32" s="101">
        <f t="shared" si="1"/>
        <v>0</v>
      </c>
      <c r="V32" s="101">
        <f t="shared" si="2"/>
        <v>0</v>
      </c>
      <c r="W32" s="102">
        <f>IF(A32="","",VLOOKUP(G32,'ANX 1 - Légende - appd 2'!$M$10:$N$33,2,FALSE))</f>
        <v>180</v>
      </c>
      <c r="X32" s="103">
        <f t="shared" si="3"/>
        <v>0</v>
      </c>
    </row>
    <row r="33" spans="1:24" ht="30" customHeight="1" x14ac:dyDescent="0.3">
      <c r="A33" s="13" t="s">
        <v>199</v>
      </c>
      <c r="B33" s="23">
        <v>2</v>
      </c>
      <c r="C33" s="24" t="s">
        <v>62</v>
      </c>
      <c r="D33" s="91">
        <v>1</v>
      </c>
      <c r="E33" s="6">
        <v>2</v>
      </c>
      <c r="F33" s="8" t="s">
        <v>138</v>
      </c>
      <c r="G33" s="1" t="s">
        <v>427</v>
      </c>
      <c r="H33" s="6">
        <v>1</v>
      </c>
      <c r="I33" s="6">
        <v>1.44</v>
      </c>
      <c r="J33" s="99">
        <f t="shared" si="0"/>
        <v>2.88</v>
      </c>
      <c r="K33" s="22" t="s">
        <v>200</v>
      </c>
      <c r="L33" s="12" t="s">
        <v>17</v>
      </c>
      <c r="M33" s="93">
        <v>19.079999999999998</v>
      </c>
      <c r="N33" s="1" t="s">
        <v>18</v>
      </c>
      <c r="O33" s="10">
        <f>IF(N33="","ERREUR",VLOOKUP(N33,'ANX 1 - Légende - appd 2'!T:U,2,FALSE))</f>
        <v>1</v>
      </c>
      <c r="P33" s="1" t="s">
        <v>18</v>
      </c>
      <c r="Q33" s="11">
        <f>IF(P33="","ERREUR",VLOOKUP(P33,'ANX 1 - Légende - appd 2'!W:X,2,FALSE))</f>
        <v>1</v>
      </c>
      <c r="R33" s="106" t="s">
        <v>467</v>
      </c>
      <c r="S33" s="121">
        <f>IF(R33="","",VLOOKUP(R33,'ANX 1 - Légende - appd 2'!D:E,2,FALSE))</f>
        <v>0</v>
      </c>
      <c r="T33" s="105" t="s">
        <v>205</v>
      </c>
      <c r="U33" s="101">
        <f t="shared" si="1"/>
        <v>0</v>
      </c>
      <c r="V33" s="101">
        <f t="shared" si="2"/>
        <v>0</v>
      </c>
      <c r="W33" s="102">
        <f>IF(A33="","",VLOOKUP(G33,'ANX 1 - Légende - appd 2'!$M$10:$N$33,2,FALSE))</f>
        <v>180</v>
      </c>
      <c r="X33" s="103">
        <f t="shared" si="3"/>
        <v>0</v>
      </c>
    </row>
    <row r="34" spans="1:24" ht="30" customHeight="1" x14ac:dyDescent="0.3">
      <c r="A34" s="13" t="s">
        <v>199</v>
      </c>
      <c r="B34" s="23">
        <v>2</v>
      </c>
      <c r="C34" s="24" t="s">
        <v>62</v>
      </c>
      <c r="D34" s="91">
        <v>1</v>
      </c>
      <c r="E34" s="6">
        <v>2</v>
      </c>
      <c r="F34" s="8" t="s">
        <v>139</v>
      </c>
      <c r="G34" s="1" t="s">
        <v>427</v>
      </c>
      <c r="H34" s="6">
        <v>1</v>
      </c>
      <c r="I34" s="6">
        <v>1.44</v>
      </c>
      <c r="J34" s="99">
        <f t="shared" si="0"/>
        <v>2.88</v>
      </c>
      <c r="K34" s="22" t="s">
        <v>200</v>
      </c>
      <c r="L34" s="12" t="s">
        <v>17</v>
      </c>
      <c r="M34" s="93">
        <v>22.029999999999998</v>
      </c>
      <c r="N34" s="1" t="s">
        <v>18</v>
      </c>
      <c r="O34" s="10">
        <f>IF(N34="","ERREUR",VLOOKUP(N34,'ANX 1 - Légende - appd 2'!T:U,2,FALSE))</f>
        <v>1</v>
      </c>
      <c r="P34" s="1" t="s">
        <v>18</v>
      </c>
      <c r="Q34" s="11">
        <f>IF(P34="","ERREUR",VLOOKUP(P34,'ANX 1 - Légende - appd 2'!W:X,2,FALSE))</f>
        <v>1</v>
      </c>
      <c r="R34" s="106" t="s">
        <v>467</v>
      </c>
      <c r="S34" s="121">
        <f>IF(R34="","",VLOOKUP(R34,'ANX 1 - Légende - appd 2'!D:E,2,FALSE))</f>
        <v>0</v>
      </c>
      <c r="T34" s="105" t="s">
        <v>204</v>
      </c>
      <c r="U34" s="101">
        <f t="shared" si="1"/>
        <v>0</v>
      </c>
      <c r="V34" s="101">
        <f t="shared" si="2"/>
        <v>0</v>
      </c>
      <c r="W34" s="102">
        <f>IF(A34="","",VLOOKUP(G34,'ANX 1 - Légende - appd 2'!$M$10:$N$33,2,FALSE))</f>
        <v>180</v>
      </c>
      <c r="X34" s="103">
        <f t="shared" si="3"/>
        <v>0</v>
      </c>
    </row>
    <row r="35" spans="1:24" ht="30" customHeight="1" x14ac:dyDescent="0.3">
      <c r="A35" s="13" t="s">
        <v>199</v>
      </c>
      <c r="B35" s="23">
        <v>2</v>
      </c>
      <c r="C35" s="24" t="s">
        <v>62</v>
      </c>
      <c r="D35" s="91">
        <v>1</v>
      </c>
      <c r="E35" s="6">
        <v>2</v>
      </c>
      <c r="F35" s="8" t="s">
        <v>140</v>
      </c>
      <c r="G35" s="1" t="s">
        <v>427</v>
      </c>
      <c r="H35" s="6">
        <v>1</v>
      </c>
      <c r="I35" s="6">
        <v>1.44</v>
      </c>
      <c r="J35" s="99">
        <f t="shared" si="0"/>
        <v>2.88</v>
      </c>
      <c r="K35" s="22" t="s">
        <v>200</v>
      </c>
      <c r="L35" s="12" t="s">
        <v>17</v>
      </c>
      <c r="M35" s="93">
        <v>19.450000000000003</v>
      </c>
      <c r="N35" s="1" t="s">
        <v>18</v>
      </c>
      <c r="O35" s="10">
        <f>IF(N35="","ERREUR",VLOOKUP(N35,'ANX 1 - Légende - appd 2'!T:U,2,FALSE))</f>
        <v>1</v>
      </c>
      <c r="P35" s="1" t="s">
        <v>18</v>
      </c>
      <c r="Q35" s="11">
        <f>IF(P35="","ERREUR",VLOOKUP(P35,'ANX 1 - Légende - appd 2'!W:X,2,FALSE))</f>
        <v>1</v>
      </c>
      <c r="R35" s="106" t="s">
        <v>467</v>
      </c>
      <c r="S35" s="121">
        <f>IF(R35="","",VLOOKUP(R35,'ANX 1 - Légende - appd 2'!D:E,2,FALSE))</f>
        <v>0</v>
      </c>
      <c r="T35" s="105" t="s">
        <v>205</v>
      </c>
      <c r="U35" s="101">
        <f t="shared" si="1"/>
        <v>0</v>
      </c>
      <c r="V35" s="101">
        <f t="shared" si="2"/>
        <v>0</v>
      </c>
      <c r="W35" s="102">
        <f>IF(A35="","",VLOOKUP(G35,'ANX 1 - Légende - appd 2'!$M$10:$N$33,2,FALSE))</f>
        <v>180</v>
      </c>
      <c r="X35" s="103">
        <f t="shared" si="3"/>
        <v>0</v>
      </c>
    </row>
    <row r="36" spans="1:24" ht="30" customHeight="1" x14ac:dyDescent="0.3">
      <c r="A36" s="13" t="s">
        <v>199</v>
      </c>
      <c r="B36" s="23">
        <v>2</v>
      </c>
      <c r="C36" s="24" t="s">
        <v>62</v>
      </c>
      <c r="D36" s="91">
        <v>1</v>
      </c>
      <c r="E36" s="6">
        <v>2</v>
      </c>
      <c r="F36" s="8" t="s">
        <v>141</v>
      </c>
      <c r="G36" s="1" t="s">
        <v>427</v>
      </c>
      <c r="H36" s="6">
        <v>1</v>
      </c>
      <c r="I36" s="6">
        <v>1.44</v>
      </c>
      <c r="J36" s="99">
        <f t="shared" si="0"/>
        <v>2.88</v>
      </c>
      <c r="K36" s="22" t="s">
        <v>200</v>
      </c>
      <c r="L36" s="12" t="s">
        <v>17</v>
      </c>
      <c r="M36" s="93">
        <v>25.72</v>
      </c>
      <c r="N36" s="1" t="s">
        <v>18</v>
      </c>
      <c r="O36" s="10">
        <f>IF(N36="","ERREUR",VLOOKUP(N36,'ANX 1 - Légende - appd 2'!T:U,2,FALSE))</f>
        <v>1</v>
      </c>
      <c r="P36" s="1" t="s">
        <v>18</v>
      </c>
      <c r="Q36" s="11">
        <f>IF(P36="","ERREUR",VLOOKUP(P36,'ANX 1 - Légende - appd 2'!W:X,2,FALSE))</f>
        <v>1</v>
      </c>
      <c r="R36" s="106" t="s">
        <v>467</v>
      </c>
      <c r="S36" s="121">
        <f>IF(R36="","",VLOOKUP(R36,'ANX 1 - Légende - appd 2'!D:E,2,FALSE))</f>
        <v>0</v>
      </c>
      <c r="T36" s="105" t="s">
        <v>204</v>
      </c>
      <c r="U36" s="101">
        <f t="shared" si="1"/>
        <v>0</v>
      </c>
      <c r="V36" s="101">
        <f t="shared" si="2"/>
        <v>0</v>
      </c>
      <c r="W36" s="102">
        <f>IF(A36="","",VLOOKUP(G36,'ANX 1 - Légende - appd 2'!$M$10:$N$33,2,FALSE))</f>
        <v>180</v>
      </c>
      <c r="X36" s="103">
        <f t="shared" si="3"/>
        <v>0</v>
      </c>
    </row>
    <row r="37" spans="1:24" ht="30" customHeight="1" x14ac:dyDescent="0.3">
      <c r="A37" s="13" t="s">
        <v>199</v>
      </c>
      <c r="B37" s="23">
        <v>2</v>
      </c>
      <c r="C37" s="24" t="s">
        <v>62</v>
      </c>
      <c r="D37" s="91">
        <v>1</v>
      </c>
      <c r="E37" s="6">
        <v>2</v>
      </c>
      <c r="F37" s="8" t="s">
        <v>142</v>
      </c>
      <c r="G37" s="1" t="s">
        <v>427</v>
      </c>
      <c r="H37" s="6">
        <v>1</v>
      </c>
      <c r="I37" s="6">
        <v>1.44</v>
      </c>
      <c r="J37" s="99">
        <f t="shared" si="0"/>
        <v>2.88</v>
      </c>
      <c r="K37" s="22" t="s">
        <v>200</v>
      </c>
      <c r="L37" s="12" t="s">
        <v>17</v>
      </c>
      <c r="M37" s="93">
        <v>23.36</v>
      </c>
      <c r="N37" s="1" t="s">
        <v>18</v>
      </c>
      <c r="O37" s="10">
        <f>IF(N37="","ERREUR",VLOOKUP(N37,'ANX 1 - Légende - appd 2'!T:U,2,FALSE))</f>
        <v>1</v>
      </c>
      <c r="P37" s="1" t="s">
        <v>18</v>
      </c>
      <c r="Q37" s="11">
        <f>IF(P37="","ERREUR",VLOOKUP(P37,'ANX 1 - Légende - appd 2'!W:X,2,FALSE))</f>
        <v>1</v>
      </c>
      <c r="R37" s="106" t="s">
        <v>467</v>
      </c>
      <c r="S37" s="121">
        <f>IF(R37="","",VLOOKUP(R37,'ANX 1 - Légende - appd 2'!D:E,2,FALSE))</f>
        <v>0</v>
      </c>
      <c r="T37" s="105" t="s">
        <v>205</v>
      </c>
      <c r="U37" s="101">
        <f t="shared" si="1"/>
        <v>0</v>
      </c>
      <c r="V37" s="101">
        <f t="shared" si="2"/>
        <v>0</v>
      </c>
      <c r="W37" s="102">
        <f>IF(A37="","",VLOOKUP(G37,'ANX 1 - Légende - appd 2'!$M$10:$N$33,2,FALSE))</f>
        <v>180</v>
      </c>
      <c r="X37" s="103">
        <f t="shared" si="3"/>
        <v>0</v>
      </c>
    </row>
    <row r="38" spans="1:24" ht="30" customHeight="1" x14ac:dyDescent="0.3">
      <c r="A38" s="339" t="s">
        <v>199</v>
      </c>
      <c r="B38" s="23">
        <v>2</v>
      </c>
      <c r="C38" s="24" t="s">
        <v>62</v>
      </c>
      <c r="D38" s="108">
        <v>1</v>
      </c>
      <c r="E38" s="7">
        <v>2</v>
      </c>
      <c r="F38" s="109" t="s">
        <v>404</v>
      </c>
      <c r="G38" s="1" t="s">
        <v>427</v>
      </c>
      <c r="H38" s="7">
        <v>1</v>
      </c>
      <c r="I38" s="7">
        <v>1.44</v>
      </c>
      <c r="J38" s="318">
        <f t="shared" si="0"/>
        <v>2.88</v>
      </c>
      <c r="K38" s="22" t="s">
        <v>200</v>
      </c>
      <c r="L38" s="316" t="s">
        <v>17</v>
      </c>
      <c r="M38" s="317">
        <v>28.55</v>
      </c>
      <c r="N38" s="1" t="s">
        <v>18</v>
      </c>
      <c r="O38" s="10">
        <f>IF(N38="","ERREUR",VLOOKUP(N38,'ANX 1 - Légende - appd 2'!T:U,2,FALSE))</f>
        <v>1</v>
      </c>
      <c r="P38" s="1" t="s">
        <v>18</v>
      </c>
      <c r="Q38" s="11">
        <f>IF(P38="","ERREUR",VLOOKUP(P38,'ANX 1 - Légende - appd 2'!W:X,2,FALSE))</f>
        <v>1</v>
      </c>
      <c r="R38" s="106" t="s">
        <v>467</v>
      </c>
      <c r="S38" s="121">
        <f>IF(R38="","",VLOOKUP(R38,'ANX 1 - Légende - appd 2'!D:E,2,FALSE))</f>
        <v>0</v>
      </c>
      <c r="T38" s="105" t="s">
        <v>205</v>
      </c>
      <c r="U38" s="101">
        <f t="shared" si="1"/>
        <v>0</v>
      </c>
      <c r="V38" s="101">
        <f t="shared" si="2"/>
        <v>0</v>
      </c>
      <c r="W38" s="102">
        <f>IF(A38="","",VLOOKUP(G38,'ANX 1 - Légende - appd 2'!$M$10:$N$33,2,FALSE))</f>
        <v>180</v>
      </c>
      <c r="X38" s="103">
        <f t="shared" si="3"/>
        <v>0</v>
      </c>
    </row>
    <row r="39" spans="1:24" ht="30" customHeight="1" x14ac:dyDescent="0.3">
      <c r="A39" s="13" t="s">
        <v>199</v>
      </c>
      <c r="B39" s="23">
        <v>1</v>
      </c>
      <c r="C39" s="24" t="s">
        <v>62</v>
      </c>
      <c r="D39" s="91">
        <v>1</v>
      </c>
      <c r="E39" s="6">
        <v>2</v>
      </c>
      <c r="F39" s="4" t="s">
        <v>143</v>
      </c>
      <c r="G39" s="5" t="s">
        <v>14</v>
      </c>
      <c r="H39" s="6">
        <v>1</v>
      </c>
      <c r="I39" s="6">
        <v>1.44</v>
      </c>
      <c r="J39" s="99">
        <f t="shared" si="0"/>
        <v>2.88</v>
      </c>
      <c r="K39" s="22" t="s">
        <v>200</v>
      </c>
      <c r="L39" s="12" t="s">
        <v>17</v>
      </c>
      <c r="M39" s="93">
        <v>22.21</v>
      </c>
      <c r="N39" s="1" t="s">
        <v>18</v>
      </c>
      <c r="O39" s="10">
        <f>IF(N39="","ERREUR",VLOOKUP(N39,'ANX 1 - Légende - appd 2'!T:U,2,FALSE))</f>
        <v>1</v>
      </c>
      <c r="P39" s="1" t="s">
        <v>18</v>
      </c>
      <c r="Q39" s="11">
        <f>IF(P39="","ERREUR",VLOOKUP(P39,'ANX 1 - Légende - appd 2'!W:X,2,FALSE))</f>
        <v>1</v>
      </c>
      <c r="R39" s="4" t="s">
        <v>252</v>
      </c>
      <c r="S39" s="121">
        <f>IF(R39="","",VLOOKUP(R39,'ANX 1 - Légende - appd 2'!D:E,2,FALSE))</f>
        <v>52</v>
      </c>
      <c r="T39" s="105" t="s">
        <v>191</v>
      </c>
      <c r="U39" s="101">
        <f t="shared" si="1"/>
        <v>1154.92</v>
      </c>
      <c r="V39" s="101">
        <f t="shared" si="2"/>
        <v>1154.92</v>
      </c>
      <c r="W39" s="102">
        <f>IF(A39="","",VLOOKUP(G39,'ANX 1 - Légende - appd 2'!$M$10:$N$33,2,FALSE))</f>
        <v>250</v>
      </c>
      <c r="X39" s="103">
        <f t="shared" si="3"/>
        <v>4.6196800000000007</v>
      </c>
    </row>
    <row r="40" spans="1:24" ht="30" customHeight="1" x14ac:dyDescent="0.3">
      <c r="A40" s="13" t="s">
        <v>199</v>
      </c>
      <c r="B40" s="23">
        <v>1</v>
      </c>
      <c r="C40" s="24" t="s">
        <v>62</v>
      </c>
      <c r="D40" s="91">
        <v>1</v>
      </c>
      <c r="E40" s="6">
        <v>2</v>
      </c>
      <c r="F40" s="8" t="s">
        <v>144</v>
      </c>
      <c r="G40" s="5" t="s">
        <v>72</v>
      </c>
      <c r="H40" s="6">
        <v>0</v>
      </c>
      <c r="I40" s="6">
        <v>0</v>
      </c>
      <c r="J40" s="99">
        <f t="shared" si="0"/>
        <v>0</v>
      </c>
      <c r="K40" s="5" t="s">
        <v>34</v>
      </c>
      <c r="L40" s="12" t="s">
        <v>38</v>
      </c>
      <c r="M40" s="93">
        <v>10.08</v>
      </c>
      <c r="N40" s="1" t="s">
        <v>18</v>
      </c>
      <c r="O40" s="10">
        <f>IF(N40="","ERREUR",VLOOKUP(N40,'ANX 1 - Légende - appd 2'!T:U,2,FALSE))</f>
        <v>1</v>
      </c>
      <c r="P40" s="1" t="s">
        <v>18</v>
      </c>
      <c r="Q40" s="11">
        <f>IF(P40="","ERREUR",VLOOKUP(P40,'ANX 1 - Légende - appd 2'!W:X,2,FALSE))</f>
        <v>1</v>
      </c>
      <c r="R40" s="4" t="s">
        <v>252</v>
      </c>
      <c r="S40" s="121">
        <f>IF(R40="","",VLOOKUP(R40,'ANX 1 - Légende - appd 2'!D:E,2,FALSE))</f>
        <v>52</v>
      </c>
      <c r="T40" s="105" t="s">
        <v>192</v>
      </c>
      <c r="U40" s="101">
        <f t="shared" si="1"/>
        <v>524.16</v>
      </c>
      <c r="V40" s="101">
        <f t="shared" si="2"/>
        <v>524.16</v>
      </c>
      <c r="W40" s="102">
        <f>IF(A40="","",VLOOKUP(G40,'ANX 1 - Légende - appd 2'!$M$10:$N$33,2,FALSE))</f>
        <v>250</v>
      </c>
      <c r="X40" s="103">
        <f t="shared" si="3"/>
        <v>2.0966399999999998</v>
      </c>
    </row>
    <row r="41" spans="1:24" ht="30" customHeight="1" x14ac:dyDescent="0.3">
      <c r="A41" s="13" t="s">
        <v>199</v>
      </c>
      <c r="B41" s="23">
        <v>1</v>
      </c>
      <c r="C41" s="24" t="s">
        <v>62</v>
      </c>
      <c r="D41" s="91">
        <v>1</v>
      </c>
      <c r="E41" s="3">
        <v>2</v>
      </c>
      <c r="F41" s="4" t="s">
        <v>145</v>
      </c>
      <c r="G41" s="5" t="s">
        <v>72</v>
      </c>
      <c r="H41" s="3">
        <v>0</v>
      </c>
      <c r="I41" s="3">
        <v>0</v>
      </c>
      <c r="J41" s="99">
        <f t="shared" si="0"/>
        <v>0</v>
      </c>
      <c r="K41" s="5" t="s">
        <v>34</v>
      </c>
      <c r="L41" s="12" t="s">
        <v>38</v>
      </c>
      <c r="M41" s="9">
        <v>13.02</v>
      </c>
      <c r="N41" s="1" t="s">
        <v>18</v>
      </c>
      <c r="O41" s="10">
        <f>IF(N41="","ERREUR",VLOOKUP(N41,'ANX 1 - Légende - appd 2'!T:U,2,FALSE))</f>
        <v>1</v>
      </c>
      <c r="P41" s="1" t="s">
        <v>18</v>
      </c>
      <c r="Q41" s="11">
        <f>IF(P41="","ERREUR",VLOOKUP(P41,'ANX 1 - Légende - appd 2'!W:X,2,FALSE))</f>
        <v>1</v>
      </c>
      <c r="R41" s="4" t="s">
        <v>252</v>
      </c>
      <c r="S41" s="121">
        <f>IF(R41="","",VLOOKUP(R41,'ANX 1 - Légende - appd 2'!D:E,2,FALSE))</f>
        <v>52</v>
      </c>
      <c r="T41" s="105" t="s">
        <v>196</v>
      </c>
      <c r="U41" s="101">
        <f t="shared" si="1"/>
        <v>677.04</v>
      </c>
      <c r="V41" s="101">
        <f t="shared" si="2"/>
        <v>677.04</v>
      </c>
      <c r="W41" s="102">
        <f>IF(A41="","",VLOOKUP(G41,'ANX 1 - Légende - appd 2'!$M$10:$N$33,2,FALSE))</f>
        <v>250</v>
      </c>
      <c r="X41" s="103">
        <f t="shared" si="3"/>
        <v>2.7081599999999999</v>
      </c>
    </row>
    <row r="42" spans="1:24" ht="30" customHeight="1" x14ac:dyDescent="0.3">
      <c r="A42" s="13" t="s">
        <v>199</v>
      </c>
      <c r="B42" s="23">
        <v>1</v>
      </c>
      <c r="C42" s="24" t="s">
        <v>62</v>
      </c>
      <c r="D42" s="91">
        <v>1</v>
      </c>
      <c r="E42" s="6">
        <v>2</v>
      </c>
      <c r="F42" s="4" t="s">
        <v>182</v>
      </c>
      <c r="G42" s="5" t="s">
        <v>72</v>
      </c>
      <c r="H42" s="6">
        <v>1</v>
      </c>
      <c r="I42" s="6">
        <v>2.5</v>
      </c>
      <c r="J42" s="99">
        <f t="shared" si="0"/>
        <v>5</v>
      </c>
      <c r="K42" s="22" t="s">
        <v>201</v>
      </c>
      <c r="L42" s="12" t="s">
        <v>17</v>
      </c>
      <c r="M42" s="93">
        <v>61.79</v>
      </c>
      <c r="N42" s="1" t="s">
        <v>18</v>
      </c>
      <c r="O42" s="10">
        <f>IF(N42="","ERREUR",VLOOKUP(N42,'ANX 1 - Légende - appd 2'!T:U,2,FALSE))</f>
        <v>1</v>
      </c>
      <c r="P42" s="1" t="s">
        <v>18</v>
      </c>
      <c r="Q42" s="11">
        <f>IF(P42="","ERREUR",VLOOKUP(P42,'ANX 1 - Légende - appd 2'!W:X,2,FALSE))</f>
        <v>1</v>
      </c>
      <c r="R42" s="106" t="s">
        <v>249</v>
      </c>
      <c r="S42" s="121">
        <f>IF(R42="","",VLOOKUP(R42,'ANX 1 - Légende - appd 2'!D:E,2,FALSE))</f>
        <v>365</v>
      </c>
      <c r="T42" s="105" t="s">
        <v>193</v>
      </c>
      <c r="U42" s="101">
        <f t="shared" si="1"/>
        <v>22553.35</v>
      </c>
      <c r="V42" s="101">
        <f t="shared" si="2"/>
        <v>22553.35</v>
      </c>
      <c r="W42" s="102">
        <f>IF(A42="","",VLOOKUP(G42,'ANX 1 - Légende - appd 2'!$M$10:$N$33,2,FALSE))</f>
        <v>250</v>
      </c>
      <c r="X42" s="103">
        <f t="shared" si="3"/>
        <v>90.213399999999993</v>
      </c>
    </row>
    <row r="43" spans="1:24" ht="30" customHeight="1" x14ac:dyDescent="0.3">
      <c r="A43" s="13" t="s">
        <v>199</v>
      </c>
      <c r="B43" s="23">
        <v>1</v>
      </c>
      <c r="C43" s="24" t="s">
        <v>62</v>
      </c>
      <c r="D43" s="91">
        <v>1</v>
      </c>
      <c r="E43" s="6">
        <v>2</v>
      </c>
      <c r="F43" s="4" t="s">
        <v>183</v>
      </c>
      <c r="G43" s="5" t="s">
        <v>72</v>
      </c>
      <c r="H43" s="6">
        <v>1</v>
      </c>
      <c r="I43" s="6">
        <v>2.5</v>
      </c>
      <c r="J43" s="99">
        <f t="shared" si="0"/>
        <v>5</v>
      </c>
      <c r="K43" s="22" t="s">
        <v>201</v>
      </c>
      <c r="L43" s="12" t="s">
        <v>17</v>
      </c>
      <c r="M43" s="93">
        <v>64.819999999999993</v>
      </c>
      <c r="N43" s="1" t="s">
        <v>18</v>
      </c>
      <c r="O43" s="10">
        <f>IF(N43="","ERREUR",VLOOKUP(N43,'ANX 1 - Légende - appd 2'!T:U,2,FALSE))</f>
        <v>1</v>
      </c>
      <c r="P43" s="1" t="s">
        <v>18</v>
      </c>
      <c r="Q43" s="11">
        <f>IF(P43="","ERREUR",VLOOKUP(P43,'ANX 1 - Légende - appd 2'!W:X,2,FALSE))</f>
        <v>1</v>
      </c>
      <c r="R43" s="106" t="s">
        <v>249</v>
      </c>
      <c r="S43" s="121">
        <f>IF(R43="","",VLOOKUP(R43,'ANX 1 - Légende - appd 2'!D:E,2,FALSE))</f>
        <v>365</v>
      </c>
      <c r="T43" s="105" t="s">
        <v>197</v>
      </c>
      <c r="U43" s="101">
        <f t="shared" si="1"/>
        <v>23659.3</v>
      </c>
      <c r="V43" s="101">
        <f t="shared" si="2"/>
        <v>23659.3</v>
      </c>
      <c r="W43" s="102">
        <f>IF(A43="","",VLOOKUP(G43,'ANX 1 - Légende - appd 2'!$M$10:$N$33,2,FALSE))</f>
        <v>250</v>
      </c>
      <c r="X43" s="103">
        <f t="shared" si="3"/>
        <v>94.637199999999993</v>
      </c>
    </row>
    <row r="44" spans="1:24" ht="30" customHeight="1" x14ac:dyDescent="0.3">
      <c r="A44" s="13" t="s">
        <v>199</v>
      </c>
      <c r="B44" s="23">
        <v>1</v>
      </c>
      <c r="C44" s="24" t="s">
        <v>62</v>
      </c>
      <c r="D44" s="91">
        <v>1</v>
      </c>
      <c r="E44" s="6">
        <v>2</v>
      </c>
      <c r="F44" s="8" t="s">
        <v>146</v>
      </c>
      <c r="G44" s="5" t="s">
        <v>73</v>
      </c>
      <c r="H44" s="6">
        <v>0</v>
      </c>
      <c r="I44" s="6">
        <v>0</v>
      </c>
      <c r="J44" s="99">
        <f t="shared" si="0"/>
        <v>0</v>
      </c>
      <c r="K44" s="22" t="s">
        <v>16</v>
      </c>
      <c r="L44" s="12" t="s">
        <v>17</v>
      </c>
      <c r="M44" s="93">
        <v>3.49</v>
      </c>
      <c r="N44" s="1" t="s">
        <v>277</v>
      </c>
      <c r="O44" s="10">
        <f>IF(N44="","ERREUR",VLOOKUP(N44,'ANX 1 - Légende - appd 2'!T:U,2,FALSE))</f>
        <v>0.8</v>
      </c>
      <c r="P44" s="1" t="s">
        <v>18</v>
      </c>
      <c r="Q44" s="11">
        <f>IF(P44="","ERREUR",VLOOKUP(P44,'ANX 1 - Légende - appd 2'!W:X,2,FALSE))</f>
        <v>1</v>
      </c>
      <c r="R44" s="106" t="s">
        <v>249</v>
      </c>
      <c r="S44" s="121">
        <f>IF(R44="","",VLOOKUP(R44,'ANX 1 - Légende - appd 2'!D:E,2,FALSE))</f>
        <v>365</v>
      </c>
      <c r="T44" s="105" t="s">
        <v>194</v>
      </c>
      <c r="U44" s="101">
        <f t="shared" si="1"/>
        <v>1273.8500000000001</v>
      </c>
      <c r="V44" s="101">
        <f t="shared" si="2"/>
        <v>1019.0800000000002</v>
      </c>
      <c r="W44" s="102">
        <f>IF(A44="","",VLOOKUP(G44,'ANX 1 - Légende - appd 2'!$M$10:$N$33,2,FALSE))</f>
        <v>80</v>
      </c>
      <c r="X44" s="103">
        <f t="shared" si="3"/>
        <v>12.738500000000002</v>
      </c>
    </row>
    <row r="45" spans="1:24" ht="30" customHeight="1" x14ac:dyDescent="0.3">
      <c r="A45" s="13" t="s">
        <v>199</v>
      </c>
      <c r="B45" s="23">
        <v>2</v>
      </c>
      <c r="C45" s="24" t="s">
        <v>62</v>
      </c>
      <c r="D45" s="91">
        <v>2</v>
      </c>
      <c r="E45" s="6">
        <v>1</v>
      </c>
      <c r="F45" s="8" t="s">
        <v>147</v>
      </c>
      <c r="G45" s="1" t="s">
        <v>427</v>
      </c>
      <c r="H45" s="6">
        <v>2</v>
      </c>
      <c r="I45" s="6">
        <v>5</v>
      </c>
      <c r="J45" s="99">
        <f t="shared" si="0"/>
        <v>20</v>
      </c>
      <c r="K45" s="22" t="s">
        <v>200</v>
      </c>
      <c r="L45" s="12" t="s">
        <v>17</v>
      </c>
      <c r="M45" s="93">
        <v>23.650000000000002</v>
      </c>
      <c r="N45" s="1" t="s">
        <v>18</v>
      </c>
      <c r="O45" s="10">
        <f>IF(N45="","ERREUR",VLOOKUP(N45,'ANX 1 - Légende - appd 2'!T:U,2,FALSE))</f>
        <v>1</v>
      </c>
      <c r="P45" s="1" t="s">
        <v>18</v>
      </c>
      <c r="Q45" s="11">
        <f>IF(P45="","ERREUR",VLOOKUP(P45,'ANX 1 - Légende - appd 2'!W:X,2,FALSE))</f>
        <v>1</v>
      </c>
      <c r="R45" s="106" t="s">
        <v>467</v>
      </c>
      <c r="S45" s="121">
        <f>IF(R45="","",VLOOKUP(R45,'ANX 1 - Légende - appd 2'!D:E,2,FALSE))</f>
        <v>0</v>
      </c>
      <c r="T45" s="105" t="s">
        <v>206</v>
      </c>
      <c r="U45" s="101">
        <f t="shared" si="1"/>
        <v>0</v>
      </c>
      <c r="V45" s="101">
        <f t="shared" si="2"/>
        <v>0</v>
      </c>
      <c r="W45" s="102">
        <f>IF(A45="","",VLOOKUP(G45,'ANX 1 - Légende - appd 2'!$M$10:$N$33,2,FALSE))</f>
        <v>180</v>
      </c>
      <c r="X45" s="103">
        <f t="shared" si="3"/>
        <v>0</v>
      </c>
    </row>
    <row r="46" spans="1:24" ht="30" customHeight="1" x14ac:dyDescent="0.3">
      <c r="A46" s="13" t="s">
        <v>199</v>
      </c>
      <c r="B46" s="23">
        <v>2</v>
      </c>
      <c r="C46" s="24" t="s">
        <v>62</v>
      </c>
      <c r="D46" s="91">
        <v>2</v>
      </c>
      <c r="E46" s="6">
        <v>1</v>
      </c>
      <c r="F46" s="8" t="s">
        <v>148</v>
      </c>
      <c r="G46" s="1" t="s">
        <v>427</v>
      </c>
      <c r="H46" s="6">
        <v>1</v>
      </c>
      <c r="I46" s="6">
        <v>2.5</v>
      </c>
      <c r="J46" s="99">
        <f t="shared" si="0"/>
        <v>5</v>
      </c>
      <c r="K46" s="22" t="s">
        <v>200</v>
      </c>
      <c r="L46" s="12" t="s">
        <v>17</v>
      </c>
      <c r="M46" s="93">
        <v>22.009999999999998</v>
      </c>
      <c r="N46" s="1" t="s">
        <v>18</v>
      </c>
      <c r="O46" s="10">
        <f>IF(N46="","ERREUR",VLOOKUP(N46,'ANX 1 - Légende - appd 2'!T:U,2,FALSE))</f>
        <v>1</v>
      </c>
      <c r="P46" s="1" t="s">
        <v>18</v>
      </c>
      <c r="Q46" s="11">
        <f>IF(P46="","ERREUR",VLOOKUP(P46,'ANX 1 - Légende - appd 2'!W:X,2,FALSE))</f>
        <v>1</v>
      </c>
      <c r="R46" s="106" t="s">
        <v>467</v>
      </c>
      <c r="S46" s="121">
        <f>IF(R46="","",VLOOKUP(R46,'ANX 1 - Légende - appd 2'!D:E,2,FALSE))</f>
        <v>0</v>
      </c>
      <c r="T46" s="105" t="s">
        <v>206</v>
      </c>
      <c r="U46" s="101">
        <f t="shared" si="1"/>
        <v>0</v>
      </c>
      <c r="V46" s="101">
        <f t="shared" si="2"/>
        <v>0</v>
      </c>
      <c r="W46" s="102">
        <f>IF(A46="","",VLOOKUP(G46,'ANX 1 - Légende - appd 2'!$M$10:$N$33,2,FALSE))</f>
        <v>180</v>
      </c>
      <c r="X46" s="103">
        <f t="shared" si="3"/>
        <v>0</v>
      </c>
    </row>
    <row r="47" spans="1:24" ht="30" customHeight="1" x14ac:dyDescent="0.3">
      <c r="A47" s="13" t="s">
        <v>199</v>
      </c>
      <c r="B47" s="23">
        <v>2</v>
      </c>
      <c r="C47" s="24" t="s">
        <v>62</v>
      </c>
      <c r="D47" s="91">
        <v>2</v>
      </c>
      <c r="E47" s="6">
        <v>1</v>
      </c>
      <c r="F47" s="8" t="s">
        <v>149</v>
      </c>
      <c r="G47" s="1" t="s">
        <v>427</v>
      </c>
      <c r="H47" s="6">
        <v>2</v>
      </c>
      <c r="I47" s="6">
        <v>2.5</v>
      </c>
      <c r="J47" s="99">
        <f t="shared" si="0"/>
        <v>10</v>
      </c>
      <c r="K47" s="22" t="s">
        <v>200</v>
      </c>
      <c r="L47" s="12" t="s">
        <v>17</v>
      </c>
      <c r="M47" s="93">
        <v>28.3</v>
      </c>
      <c r="N47" s="1" t="s">
        <v>18</v>
      </c>
      <c r="O47" s="10">
        <f>IF(N47="","ERREUR",VLOOKUP(N47,'ANX 1 - Légende - appd 2'!T:U,2,FALSE))</f>
        <v>1</v>
      </c>
      <c r="P47" s="1" t="s">
        <v>18</v>
      </c>
      <c r="Q47" s="11">
        <f>IF(P47="","ERREUR",VLOOKUP(P47,'ANX 1 - Légende - appd 2'!W:X,2,FALSE))</f>
        <v>1</v>
      </c>
      <c r="R47" s="106" t="s">
        <v>467</v>
      </c>
      <c r="S47" s="121">
        <f>IF(R47="","",VLOOKUP(R47,'ANX 1 - Légende - appd 2'!D:E,2,FALSE))</f>
        <v>0</v>
      </c>
      <c r="T47" s="105" t="s">
        <v>259</v>
      </c>
      <c r="U47" s="101">
        <f t="shared" si="1"/>
        <v>0</v>
      </c>
      <c r="V47" s="101">
        <f t="shared" si="2"/>
        <v>0</v>
      </c>
      <c r="W47" s="102">
        <f>IF(A47="","",VLOOKUP(G47,'ANX 1 - Légende - appd 2'!$M$10:$N$33,2,FALSE))</f>
        <v>180</v>
      </c>
      <c r="X47" s="103">
        <f t="shared" si="3"/>
        <v>0</v>
      </c>
    </row>
    <row r="48" spans="1:24" ht="30" customHeight="1" x14ac:dyDescent="0.3">
      <c r="A48" s="13" t="s">
        <v>199</v>
      </c>
      <c r="B48" s="23">
        <v>2</v>
      </c>
      <c r="C48" s="24" t="s">
        <v>62</v>
      </c>
      <c r="D48" s="91">
        <v>2</v>
      </c>
      <c r="E48" s="6">
        <v>1</v>
      </c>
      <c r="F48" s="8" t="s">
        <v>150</v>
      </c>
      <c r="G48" s="1" t="s">
        <v>427</v>
      </c>
      <c r="H48" s="6">
        <v>2</v>
      </c>
      <c r="I48" s="6">
        <v>2.5</v>
      </c>
      <c r="J48" s="99">
        <f t="shared" si="0"/>
        <v>10</v>
      </c>
      <c r="K48" s="22" t="s">
        <v>200</v>
      </c>
      <c r="L48" s="12" t="s">
        <v>17</v>
      </c>
      <c r="M48" s="93">
        <v>30.43</v>
      </c>
      <c r="N48" s="1" t="s">
        <v>18</v>
      </c>
      <c r="O48" s="10">
        <f>IF(N48="","ERREUR",VLOOKUP(N48,'ANX 1 - Légende - appd 2'!T:U,2,FALSE))</f>
        <v>1</v>
      </c>
      <c r="P48" s="1" t="s">
        <v>18</v>
      </c>
      <c r="Q48" s="11">
        <f>IF(P48="","ERREUR",VLOOKUP(P48,'ANX 1 - Légende - appd 2'!W:X,2,FALSE))</f>
        <v>1</v>
      </c>
      <c r="R48" s="106" t="s">
        <v>467</v>
      </c>
      <c r="S48" s="121">
        <f>IF(R48="","",VLOOKUP(R48,'ANX 1 - Légende - appd 2'!D:E,2,FALSE))</f>
        <v>0</v>
      </c>
      <c r="T48" s="105" t="s">
        <v>257</v>
      </c>
      <c r="U48" s="101">
        <f t="shared" ref="U48:U80" si="4">IF(A48="","",S48*M48)</f>
        <v>0</v>
      </c>
      <c r="V48" s="101">
        <f t="shared" ref="V48:V79" si="5">IF(A48="","",U48*O48*Q48)</f>
        <v>0</v>
      </c>
      <c r="W48" s="102">
        <f>IF(A48="","",VLOOKUP(G48,'ANX 1 - Légende - appd 2'!$M$10:$N$33,2,FALSE))</f>
        <v>180</v>
      </c>
      <c r="X48" s="103">
        <f t="shared" ref="X48:X79" si="6">IF(A48="","",IF(LEFT(R48,3)="Sur",0,IF(LEFT(R48,3)="non",0,IF(W48=0,0,(V48/W48)))))</f>
        <v>0</v>
      </c>
    </row>
    <row r="49" spans="1:24" ht="30" customHeight="1" x14ac:dyDescent="0.3">
      <c r="A49" s="13" t="s">
        <v>199</v>
      </c>
      <c r="B49" s="23">
        <v>2</v>
      </c>
      <c r="C49" s="24" t="s">
        <v>62</v>
      </c>
      <c r="D49" s="91">
        <v>2</v>
      </c>
      <c r="E49" s="6">
        <v>1</v>
      </c>
      <c r="F49" s="8" t="s">
        <v>151</v>
      </c>
      <c r="G49" s="1" t="s">
        <v>427</v>
      </c>
      <c r="H49" s="6">
        <v>2</v>
      </c>
      <c r="I49" s="6">
        <v>2.5</v>
      </c>
      <c r="J49" s="99">
        <f t="shared" si="0"/>
        <v>10</v>
      </c>
      <c r="K49" s="22" t="s">
        <v>200</v>
      </c>
      <c r="L49" s="12" t="s">
        <v>17</v>
      </c>
      <c r="M49" s="93">
        <v>30.630000000000003</v>
      </c>
      <c r="N49" s="1" t="s">
        <v>18</v>
      </c>
      <c r="O49" s="10">
        <f>IF(N49="","ERREUR",VLOOKUP(N49,'ANX 1 - Légende - appd 2'!T:U,2,FALSE))</f>
        <v>1</v>
      </c>
      <c r="P49" s="1" t="s">
        <v>18</v>
      </c>
      <c r="Q49" s="11">
        <f>IF(P49="","ERREUR",VLOOKUP(P49,'ANX 1 - Légende - appd 2'!W:X,2,FALSE))</f>
        <v>1</v>
      </c>
      <c r="R49" s="106" t="s">
        <v>467</v>
      </c>
      <c r="S49" s="121">
        <f>IF(R49="","",VLOOKUP(R49,'ANX 1 - Légende - appd 2'!D:E,2,FALSE))</f>
        <v>0</v>
      </c>
      <c r="T49" s="105" t="s">
        <v>257</v>
      </c>
      <c r="U49" s="101">
        <f t="shared" si="4"/>
        <v>0</v>
      </c>
      <c r="V49" s="101">
        <f t="shared" si="5"/>
        <v>0</v>
      </c>
      <c r="W49" s="102">
        <f>IF(A49="","",VLOOKUP(G49,'ANX 1 - Légende - appd 2'!$M$10:$N$33,2,FALSE))</f>
        <v>180</v>
      </c>
      <c r="X49" s="103">
        <f t="shared" si="6"/>
        <v>0</v>
      </c>
    </row>
    <row r="50" spans="1:24" ht="30" customHeight="1" x14ac:dyDescent="0.3">
      <c r="A50" s="13" t="s">
        <v>199</v>
      </c>
      <c r="B50" s="23">
        <v>2</v>
      </c>
      <c r="C50" s="24" t="s">
        <v>62</v>
      </c>
      <c r="D50" s="91">
        <v>2</v>
      </c>
      <c r="E50" s="6">
        <v>1</v>
      </c>
      <c r="F50" s="8" t="s">
        <v>152</v>
      </c>
      <c r="G50" s="1" t="s">
        <v>427</v>
      </c>
      <c r="H50" s="6">
        <v>2</v>
      </c>
      <c r="I50" s="6">
        <v>2.5</v>
      </c>
      <c r="J50" s="99">
        <f t="shared" si="0"/>
        <v>10</v>
      </c>
      <c r="K50" s="22" t="s">
        <v>200</v>
      </c>
      <c r="L50" s="12" t="s">
        <v>17</v>
      </c>
      <c r="M50" s="93">
        <v>24.66</v>
      </c>
      <c r="N50" s="1" t="s">
        <v>18</v>
      </c>
      <c r="O50" s="10">
        <f>IF(N50="","ERREUR",VLOOKUP(N50,'ANX 1 - Légende - appd 2'!T:U,2,FALSE))</f>
        <v>1</v>
      </c>
      <c r="P50" s="1" t="s">
        <v>18</v>
      </c>
      <c r="Q50" s="11">
        <f>IF(P50="","ERREUR",VLOOKUP(P50,'ANX 1 - Légende - appd 2'!W:X,2,FALSE))</f>
        <v>1</v>
      </c>
      <c r="R50" s="106" t="s">
        <v>467</v>
      </c>
      <c r="S50" s="121">
        <f>IF(R50="","",VLOOKUP(R50,'ANX 1 - Légende - appd 2'!D:E,2,FALSE))</f>
        <v>0</v>
      </c>
      <c r="T50" s="105" t="s">
        <v>204</v>
      </c>
      <c r="U50" s="101">
        <f t="shared" si="4"/>
        <v>0</v>
      </c>
      <c r="V50" s="101">
        <f t="shared" si="5"/>
        <v>0</v>
      </c>
      <c r="W50" s="102">
        <f>IF(A50="","",VLOOKUP(G50,'ANX 1 - Légende - appd 2'!$M$10:$N$33,2,FALSE))</f>
        <v>180</v>
      </c>
      <c r="X50" s="103">
        <f t="shared" si="6"/>
        <v>0</v>
      </c>
    </row>
    <row r="51" spans="1:24" ht="30" customHeight="1" x14ac:dyDescent="0.3">
      <c r="A51" s="13" t="s">
        <v>199</v>
      </c>
      <c r="B51" s="23">
        <v>2</v>
      </c>
      <c r="C51" s="24" t="s">
        <v>62</v>
      </c>
      <c r="D51" s="91">
        <v>2</v>
      </c>
      <c r="E51" s="6">
        <v>1</v>
      </c>
      <c r="F51" s="8" t="s">
        <v>153</v>
      </c>
      <c r="G51" s="1" t="s">
        <v>427</v>
      </c>
      <c r="H51" s="6">
        <v>1</v>
      </c>
      <c r="I51" s="6">
        <v>2.5</v>
      </c>
      <c r="J51" s="99">
        <f t="shared" si="0"/>
        <v>5</v>
      </c>
      <c r="K51" s="22" t="s">
        <v>200</v>
      </c>
      <c r="L51" s="12" t="s">
        <v>17</v>
      </c>
      <c r="M51" s="93">
        <v>22.23</v>
      </c>
      <c r="N51" s="1" t="s">
        <v>18</v>
      </c>
      <c r="O51" s="10">
        <f>IF(N51="","ERREUR",VLOOKUP(N51,'ANX 1 - Légende - appd 2'!T:U,2,FALSE))</f>
        <v>1</v>
      </c>
      <c r="P51" s="1" t="s">
        <v>18</v>
      </c>
      <c r="Q51" s="11">
        <f>IF(P51="","ERREUR",VLOOKUP(P51,'ANX 1 - Légende - appd 2'!W:X,2,FALSE))</f>
        <v>1</v>
      </c>
      <c r="R51" s="106" t="s">
        <v>467</v>
      </c>
      <c r="S51" s="121">
        <f>IF(R51="","",VLOOKUP(R51,'ANX 1 - Légende - appd 2'!D:E,2,FALSE))</f>
        <v>0</v>
      </c>
      <c r="T51" s="105" t="s">
        <v>204</v>
      </c>
      <c r="U51" s="101">
        <f t="shared" si="4"/>
        <v>0</v>
      </c>
      <c r="V51" s="101">
        <f t="shared" si="5"/>
        <v>0</v>
      </c>
      <c r="W51" s="102">
        <f>IF(A51="","",VLOOKUP(G51,'ANX 1 - Légende - appd 2'!$M$10:$N$33,2,FALSE))</f>
        <v>180</v>
      </c>
      <c r="X51" s="103">
        <f t="shared" si="6"/>
        <v>0</v>
      </c>
    </row>
    <row r="52" spans="1:24" ht="30" customHeight="1" x14ac:dyDescent="0.3">
      <c r="A52" s="13" t="s">
        <v>199</v>
      </c>
      <c r="B52" s="23">
        <v>2</v>
      </c>
      <c r="C52" s="24" t="s">
        <v>62</v>
      </c>
      <c r="D52" s="91">
        <v>2</v>
      </c>
      <c r="E52" s="6">
        <v>1</v>
      </c>
      <c r="F52" s="8" t="s">
        <v>154</v>
      </c>
      <c r="G52" s="1" t="s">
        <v>427</v>
      </c>
      <c r="H52" s="6">
        <v>2</v>
      </c>
      <c r="I52" s="6">
        <v>2.5</v>
      </c>
      <c r="J52" s="99">
        <f t="shared" si="0"/>
        <v>10</v>
      </c>
      <c r="K52" s="22" t="s">
        <v>200</v>
      </c>
      <c r="L52" s="12" t="s">
        <v>17</v>
      </c>
      <c r="M52" s="93">
        <v>23.8</v>
      </c>
      <c r="N52" s="1" t="s">
        <v>18</v>
      </c>
      <c r="O52" s="10">
        <f>IF(N52="","ERREUR",VLOOKUP(N52,'ANX 1 - Légende - appd 2'!T:U,2,FALSE))</f>
        <v>1</v>
      </c>
      <c r="P52" s="1" t="s">
        <v>18</v>
      </c>
      <c r="Q52" s="11">
        <f>IF(P52="","ERREUR",VLOOKUP(P52,'ANX 1 - Légende - appd 2'!W:X,2,FALSE))</f>
        <v>1</v>
      </c>
      <c r="R52" s="106" t="s">
        <v>467</v>
      </c>
      <c r="S52" s="121">
        <f>IF(R52="","",VLOOKUP(R52,'ANX 1 - Légende - appd 2'!D:E,2,FALSE))</f>
        <v>0</v>
      </c>
      <c r="T52" s="105" t="s">
        <v>204</v>
      </c>
      <c r="U52" s="101">
        <f t="shared" si="4"/>
        <v>0</v>
      </c>
      <c r="V52" s="101">
        <f t="shared" si="5"/>
        <v>0</v>
      </c>
      <c r="W52" s="102">
        <f>IF(A52="","",VLOOKUP(G52,'ANX 1 - Légende - appd 2'!$M$10:$N$33,2,FALSE))</f>
        <v>180</v>
      </c>
      <c r="X52" s="103">
        <f t="shared" si="6"/>
        <v>0</v>
      </c>
    </row>
    <row r="53" spans="1:24" ht="30" customHeight="1" x14ac:dyDescent="0.3">
      <c r="A53" s="13" t="s">
        <v>199</v>
      </c>
      <c r="B53" s="23">
        <v>2</v>
      </c>
      <c r="C53" s="24" t="s">
        <v>62</v>
      </c>
      <c r="D53" s="91">
        <v>2</v>
      </c>
      <c r="E53" s="6">
        <v>1</v>
      </c>
      <c r="F53" s="8" t="s">
        <v>155</v>
      </c>
      <c r="G53" s="1" t="s">
        <v>427</v>
      </c>
      <c r="H53" s="6">
        <v>1</v>
      </c>
      <c r="I53" s="6">
        <v>2.5</v>
      </c>
      <c r="J53" s="99">
        <f t="shared" si="0"/>
        <v>5</v>
      </c>
      <c r="K53" s="22" t="s">
        <v>200</v>
      </c>
      <c r="L53" s="12" t="s">
        <v>17</v>
      </c>
      <c r="M53" s="93">
        <v>23.35</v>
      </c>
      <c r="N53" s="1" t="s">
        <v>18</v>
      </c>
      <c r="O53" s="10">
        <f>IF(N53="","ERREUR",VLOOKUP(N53,'ANX 1 - Légende - appd 2'!T:U,2,FALSE))</f>
        <v>1</v>
      </c>
      <c r="P53" s="1" t="s">
        <v>18</v>
      </c>
      <c r="Q53" s="11">
        <f>IF(P53="","ERREUR",VLOOKUP(P53,'ANX 1 - Légende - appd 2'!W:X,2,FALSE))</f>
        <v>1</v>
      </c>
      <c r="R53" s="106" t="s">
        <v>467</v>
      </c>
      <c r="S53" s="121">
        <f>IF(R53="","",VLOOKUP(R53,'ANX 1 - Légende - appd 2'!D:E,2,FALSE))</f>
        <v>0</v>
      </c>
      <c r="T53" s="105" t="s">
        <v>204</v>
      </c>
      <c r="U53" s="101">
        <f t="shared" si="4"/>
        <v>0</v>
      </c>
      <c r="V53" s="101">
        <f t="shared" si="5"/>
        <v>0</v>
      </c>
      <c r="W53" s="102">
        <f>IF(A53="","",VLOOKUP(G53,'ANX 1 - Légende - appd 2'!$M$10:$N$33,2,FALSE))</f>
        <v>180</v>
      </c>
      <c r="X53" s="103">
        <f t="shared" si="6"/>
        <v>0</v>
      </c>
    </row>
    <row r="54" spans="1:24" ht="30" customHeight="1" x14ac:dyDescent="0.3">
      <c r="A54" s="13" t="s">
        <v>199</v>
      </c>
      <c r="B54" s="23">
        <v>2</v>
      </c>
      <c r="C54" s="24" t="s">
        <v>62</v>
      </c>
      <c r="D54" s="91">
        <v>2</v>
      </c>
      <c r="E54" s="6">
        <v>1</v>
      </c>
      <c r="F54" s="8" t="s">
        <v>156</v>
      </c>
      <c r="G54" s="1" t="s">
        <v>427</v>
      </c>
      <c r="H54" s="6">
        <v>2</v>
      </c>
      <c r="I54" s="6">
        <v>2.5</v>
      </c>
      <c r="J54" s="99">
        <f t="shared" si="0"/>
        <v>10</v>
      </c>
      <c r="K54" s="22" t="s">
        <v>200</v>
      </c>
      <c r="L54" s="12" t="s">
        <v>17</v>
      </c>
      <c r="M54" s="93">
        <v>23.18</v>
      </c>
      <c r="N54" s="1" t="s">
        <v>18</v>
      </c>
      <c r="O54" s="10">
        <f>IF(N54="","ERREUR",VLOOKUP(N54,'ANX 1 - Légende - appd 2'!T:U,2,FALSE))</f>
        <v>1</v>
      </c>
      <c r="P54" s="1" t="s">
        <v>18</v>
      </c>
      <c r="Q54" s="11">
        <f>IF(P54="","ERREUR",VLOOKUP(P54,'ANX 1 - Légende - appd 2'!W:X,2,FALSE))</f>
        <v>1</v>
      </c>
      <c r="R54" s="106" t="s">
        <v>467</v>
      </c>
      <c r="S54" s="121">
        <f>IF(R54="","",VLOOKUP(R54,'ANX 1 - Légende - appd 2'!D:E,2,FALSE))</f>
        <v>0</v>
      </c>
      <c r="T54" s="105" t="s">
        <v>204</v>
      </c>
      <c r="U54" s="101">
        <f t="shared" si="4"/>
        <v>0</v>
      </c>
      <c r="V54" s="101">
        <f t="shared" si="5"/>
        <v>0</v>
      </c>
      <c r="W54" s="102">
        <f>IF(A54="","",VLOOKUP(G54,'ANX 1 - Légende - appd 2'!$M$10:$N$33,2,FALSE))</f>
        <v>180</v>
      </c>
      <c r="X54" s="103">
        <f t="shared" si="6"/>
        <v>0</v>
      </c>
    </row>
    <row r="55" spans="1:24" ht="30" customHeight="1" x14ac:dyDescent="0.3">
      <c r="A55" s="13" t="s">
        <v>199</v>
      </c>
      <c r="B55" s="23">
        <v>2</v>
      </c>
      <c r="C55" s="24" t="s">
        <v>62</v>
      </c>
      <c r="D55" s="91">
        <v>2</v>
      </c>
      <c r="E55" s="6">
        <v>1</v>
      </c>
      <c r="F55" s="8" t="s">
        <v>157</v>
      </c>
      <c r="G55" s="1" t="s">
        <v>427</v>
      </c>
      <c r="H55" s="6">
        <v>1</v>
      </c>
      <c r="I55" s="6">
        <v>1.44</v>
      </c>
      <c r="J55" s="99">
        <f t="shared" si="0"/>
        <v>2.88</v>
      </c>
      <c r="K55" s="22" t="s">
        <v>200</v>
      </c>
      <c r="L55" s="12" t="s">
        <v>17</v>
      </c>
      <c r="M55" s="93">
        <v>22.37</v>
      </c>
      <c r="N55" s="1" t="s">
        <v>18</v>
      </c>
      <c r="O55" s="10">
        <f>IF(N55="","ERREUR",VLOOKUP(N55,'ANX 1 - Légende - appd 2'!T:U,2,FALSE))</f>
        <v>1</v>
      </c>
      <c r="P55" s="1" t="s">
        <v>18</v>
      </c>
      <c r="Q55" s="11">
        <f>IF(P55="","ERREUR",VLOOKUP(P55,'ANX 1 - Légende - appd 2'!W:X,2,FALSE))</f>
        <v>1</v>
      </c>
      <c r="R55" s="106" t="s">
        <v>467</v>
      </c>
      <c r="S55" s="121">
        <f>IF(R55="","",VLOOKUP(R55,'ANX 1 - Légende - appd 2'!D:E,2,FALSE))</f>
        <v>0</v>
      </c>
      <c r="T55" s="105" t="s">
        <v>204</v>
      </c>
      <c r="U55" s="101">
        <f t="shared" si="4"/>
        <v>0</v>
      </c>
      <c r="V55" s="101">
        <f t="shared" si="5"/>
        <v>0</v>
      </c>
      <c r="W55" s="102">
        <f>IF(A55="","",VLOOKUP(G55,'ANX 1 - Légende - appd 2'!$M$10:$N$33,2,FALSE))</f>
        <v>180</v>
      </c>
      <c r="X55" s="103">
        <f t="shared" si="6"/>
        <v>0</v>
      </c>
    </row>
    <row r="56" spans="1:24" ht="30" customHeight="1" x14ac:dyDescent="0.3">
      <c r="A56" s="13" t="s">
        <v>199</v>
      </c>
      <c r="B56" s="23">
        <v>2</v>
      </c>
      <c r="C56" s="24" t="s">
        <v>62</v>
      </c>
      <c r="D56" s="91">
        <v>2</v>
      </c>
      <c r="E56" s="6">
        <v>1</v>
      </c>
      <c r="F56" s="8" t="s">
        <v>158</v>
      </c>
      <c r="G56" s="1" t="s">
        <v>427</v>
      </c>
      <c r="H56" s="6">
        <v>2</v>
      </c>
      <c r="I56" s="6">
        <v>2.5</v>
      </c>
      <c r="J56" s="99">
        <f t="shared" si="0"/>
        <v>10</v>
      </c>
      <c r="K56" s="22" t="s">
        <v>200</v>
      </c>
      <c r="L56" s="12" t="s">
        <v>17</v>
      </c>
      <c r="M56" s="93">
        <v>23.619999999999997</v>
      </c>
      <c r="N56" s="1" t="s">
        <v>18</v>
      </c>
      <c r="O56" s="10">
        <f>IF(N56="","ERREUR",VLOOKUP(N56,'ANX 1 - Légende - appd 2'!T:U,2,FALSE))</f>
        <v>1</v>
      </c>
      <c r="P56" s="1" t="s">
        <v>18</v>
      </c>
      <c r="Q56" s="11">
        <f>IF(P56="","ERREUR",VLOOKUP(P56,'ANX 1 - Légende - appd 2'!W:X,2,FALSE))</f>
        <v>1</v>
      </c>
      <c r="R56" s="106" t="s">
        <v>467</v>
      </c>
      <c r="S56" s="121">
        <f>IF(R56="","",VLOOKUP(R56,'ANX 1 - Légende - appd 2'!D:E,2,FALSE))</f>
        <v>0</v>
      </c>
      <c r="T56" s="105" t="s">
        <v>207</v>
      </c>
      <c r="U56" s="101">
        <f t="shared" si="4"/>
        <v>0</v>
      </c>
      <c r="V56" s="101">
        <f t="shared" si="5"/>
        <v>0</v>
      </c>
      <c r="W56" s="102">
        <f>IF(A56="","",VLOOKUP(G56,'ANX 1 - Légende - appd 2'!$M$10:$N$33,2,FALSE))</f>
        <v>180</v>
      </c>
      <c r="X56" s="103">
        <f t="shared" si="6"/>
        <v>0</v>
      </c>
    </row>
    <row r="57" spans="1:24" ht="30" customHeight="1" x14ac:dyDescent="0.3">
      <c r="A57" s="13" t="s">
        <v>199</v>
      </c>
      <c r="B57" s="23">
        <v>2</v>
      </c>
      <c r="C57" s="24" t="s">
        <v>62</v>
      </c>
      <c r="D57" s="91">
        <v>2</v>
      </c>
      <c r="E57" s="6">
        <v>1</v>
      </c>
      <c r="F57" s="8" t="s">
        <v>159</v>
      </c>
      <c r="G57" s="1" t="s">
        <v>427</v>
      </c>
      <c r="H57" s="6">
        <v>1</v>
      </c>
      <c r="I57" s="6">
        <v>2.5</v>
      </c>
      <c r="J57" s="99">
        <f t="shared" si="0"/>
        <v>5</v>
      </c>
      <c r="K57" s="22" t="s">
        <v>200</v>
      </c>
      <c r="L57" s="12" t="s">
        <v>17</v>
      </c>
      <c r="M57" s="93">
        <v>20.28</v>
      </c>
      <c r="N57" s="1" t="s">
        <v>18</v>
      </c>
      <c r="O57" s="10">
        <f>IF(N57="","ERREUR",VLOOKUP(N57,'ANX 1 - Légende - appd 2'!T:U,2,FALSE))</f>
        <v>1</v>
      </c>
      <c r="P57" s="1" t="s">
        <v>18</v>
      </c>
      <c r="Q57" s="11">
        <f>IF(P57="","ERREUR",VLOOKUP(P57,'ANX 1 - Légende - appd 2'!W:X,2,FALSE))</f>
        <v>1</v>
      </c>
      <c r="R57" s="106" t="s">
        <v>467</v>
      </c>
      <c r="S57" s="121">
        <f>IF(R57="","",VLOOKUP(R57,'ANX 1 - Légende - appd 2'!D:E,2,FALSE))</f>
        <v>0</v>
      </c>
      <c r="T57" s="105" t="s">
        <v>204</v>
      </c>
      <c r="U57" s="101">
        <f t="shared" si="4"/>
        <v>0</v>
      </c>
      <c r="V57" s="101">
        <f t="shared" si="5"/>
        <v>0</v>
      </c>
      <c r="W57" s="102">
        <f>IF(A57="","",VLOOKUP(G57,'ANX 1 - Légende - appd 2'!$M$10:$N$33,2,FALSE))</f>
        <v>180</v>
      </c>
      <c r="X57" s="103">
        <f t="shared" si="6"/>
        <v>0</v>
      </c>
    </row>
    <row r="58" spans="1:24" ht="30" customHeight="1" x14ac:dyDescent="0.3">
      <c r="A58" s="13" t="s">
        <v>199</v>
      </c>
      <c r="B58" s="23">
        <v>2</v>
      </c>
      <c r="C58" s="24" t="s">
        <v>62</v>
      </c>
      <c r="D58" s="91">
        <v>2</v>
      </c>
      <c r="E58" s="6">
        <v>1</v>
      </c>
      <c r="F58" s="8" t="s">
        <v>160</v>
      </c>
      <c r="G58" s="1" t="s">
        <v>427</v>
      </c>
      <c r="H58" s="6">
        <v>2</v>
      </c>
      <c r="I58" s="6">
        <v>2.5</v>
      </c>
      <c r="J58" s="99">
        <f t="shared" si="0"/>
        <v>10</v>
      </c>
      <c r="K58" s="22" t="s">
        <v>200</v>
      </c>
      <c r="L58" s="12" t="s">
        <v>17</v>
      </c>
      <c r="M58" s="93">
        <v>23.9</v>
      </c>
      <c r="N58" s="1" t="s">
        <v>18</v>
      </c>
      <c r="O58" s="10">
        <f>IF(N58="","ERREUR",VLOOKUP(N58,'ANX 1 - Légende - appd 2'!T:U,2,FALSE))</f>
        <v>1</v>
      </c>
      <c r="P58" s="1" t="s">
        <v>18</v>
      </c>
      <c r="Q58" s="11">
        <f>IF(P58="","ERREUR",VLOOKUP(P58,'ANX 1 - Légende - appd 2'!W:X,2,FALSE))</f>
        <v>1</v>
      </c>
      <c r="R58" s="106" t="s">
        <v>467</v>
      </c>
      <c r="S58" s="121">
        <f>IF(R58="","",VLOOKUP(R58,'ANX 1 - Légende - appd 2'!D:E,2,FALSE))</f>
        <v>0</v>
      </c>
      <c r="T58" s="105" t="s">
        <v>207</v>
      </c>
      <c r="U58" s="101">
        <f t="shared" si="4"/>
        <v>0</v>
      </c>
      <c r="V58" s="101">
        <f t="shared" si="5"/>
        <v>0</v>
      </c>
      <c r="W58" s="102">
        <f>IF(A58="","",VLOOKUP(G58,'ANX 1 - Légende - appd 2'!$M$10:$N$33,2,FALSE))</f>
        <v>180</v>
      </c>
      <c r="X58" s="103">
        <f t="shared" si="6"/>
        <v>0</v>
      </c>
    </row>
    <row r="59" spans="1:24" ht="30" customHeight="1" x14ac:dyDescent="0.3">
      <c r="A59" s="13" t="s">
        <v>199</v>
      </c>
      <c r="B59" s="23">
        <v>1</v>
      </c>
      <c r="C59" s="24" t="s">
        <v>62</v>
      </c>
      <c r="D59" s="91">
        <v>2</v>
      </c>
      <c r="E59" s="3">
        <v>1</v>
      </c>
      <c r="F59" s="4" t="s">
        <v>184</v>
      </c>
      <c r="G59" s="5" t="s">
        <v>19</v>
      </c>
      <c r="H59" s="3">
        <v>1</v>
      </c>
      <c r="I59" s="3">
        <v>2.5</v>
      </c>
      <c r="J59" s="99">
        <f t="shared" si="0"/>
        <v>5</v>
      </c>
      <c r="K59" s="22" t="s">
        <v>200</v>
      </c>
      <c r="L59" s="12" t="s">
        <v>17</v>
      </c>
      <c r="M59" s="9">
        <v>76.650000000000006</v>
      </c>
      <c r="N59" s="1" t="s">
        <v>18</v>
      </c>
      <c r="O59" s="10">
        <f>IF(N59="","ERREUR",VLOOKUP(N59,'ANX 1 - Légende - appd 2'!T:U,2,FALSE))</f>
        <v>1</v>
      </c>
      <c r="P59" s="1" t="s">
        <v>18</v>
      </c>
      <c r="Q59" s="11">
        <f>IF(P59="","ERREUR",VLOOKUP(P59,'ANX 1 - Légende - appd 2'!W:X,2,FALSE))</f>
        <v>1</v>
      </c>
      <c r="R59" s="106" t="s">
        <v>249</v>
      </c>
      <c r="S59" s="121">
        <f>IF(R59="","",VLOOKUP(R59,'ANX 1 - Légende - appd 2'!D:E,2,FALSE))</f>
        <v>365</v>
      </c>
      <c r="T59" s="105" t="s">
        <v>187</v>
      </c>
      <c r="U59" s="101">
        <f t="shared" si="4"/>
        <v>27977.250000000004</v>
      </c>
      <c r="V59" s="101">
        <f t="shared" si="5"/>
        <v>27977.250000000004</v>
      </c>
      <c r="W59" s="102">
        <f>IF(A59="","",VLOOKUP(G59,'ANX 1 - Légende - appd 2'!$M$10:$N$33,2,FALSE))</f>
        <v>250</v>
      </c>
      <c r="X59" s="103">
        <f t="shared" si="6"/>
        <v>111.90900000000002</v>
      </c>
    </row>
    <row r="60" spans="1:24" ht="30" customHeight="1" x14ac:dyDescent="0.3">
      <c r="A60" s="13" t="s">
        <v>199</v>
      </c>
      <c r="B60" s="23">
        <v>1</v>
      </c>
      <c r="C60" s="24" t="s">
        <v>62</v>
      </c>
      <c r="D60" s="91">
        <v>2</v>
      </c>
      <c r="E60" s="3">
        <v>2</v>
      </c>
      <c r="F60" s="4" t="s">
        <v>161</v>
      </c>
      <c r="G60" s="5" t="s">
        <v>73</v>
      </c>
      <c r="H60" s="3">
        <v>2</v>
      </c>
      <c r="I60" s="3">
        <v>1.82</v>
      </c>
      <c r="J60" s="99">
        <f t="shared" si="0"/>
        <v>7.28</v>
      </c>
      <c r="K60" s="22" t="s">
        <v>16</v>
      </c>
      <c r="L60" s="12" t="s">
        <v>17</v>
      </c>
      <c r="M60" s="9">
        <v>4.22</v>
      </c>
      <c r="N60" s="1" t="s">
        <v>18</v>
      </c>
      <c r="O60" s="10">
        <f>IF(N60="","ERREUR",VLOOKUP(N60,'ANX 1 - Légende - appd 2'!T:U,2,FALSE))</f>
        <v>1</v>
      </c>
      <c r="P60" s="1" t="s">
        <v>18</v>
      </c>
      <c r="Q60" s="11">
        <f>IF(P60="","ERREUR",VLOOKUP(P60,'ANX 1 - Légende - appd 2'!W:X,2,FALSE))</f>
        <v>1</v>
      </c>
      <c r="R60" s="106" t="s">
        <v>249</v>
      </c>
      <c r="S60" s="121">
        <f>IF(R60="","",VLOOKUP(R60,'ANX 1 - Légende - appd 2'!D:E,2,FALSE))</f>
        <v>365</v>
      </c>
      <c r="T60" s="105" t="s">
        <v>195</v>
      </c>
      <c r="U60" s="101">
        <f t="shared" si="4"/>
        <v>1540.3</v>
      </c>
      <c r="V60" s="101">
        <f t="shared" si="5"/>
        <v>1540.3</v>
      </c>
      <c r="W60" s="102">
        <f>IF(A60="","",VLOOKUP(G60,'ANX 1 - Légende - appd 2'!$M$10:$N$33,2,FALSE))</f>
        <v>80</v>
      </c>
      <c r="X60" s="103">
        <f t="shared" si="6"/>
        <v>19.25375</v>
      </c>
    </row>
    <row r="61" spans="1:24" ht="30" customHeight="1" x14ac:dyDescent="0.3">
      <c r="A61" s="13" t="s">
        <v>199</v>
      </c>
      <c r="B61" s="23">
        <v>1</v>
      </c>
      <c r="C61" s="24" t="s">
        <v>62</v>
      </c>
      <c r="D61" s="91">
        <v>2</v>
      </c>
      <c r="E61" s="3">
        <v>2</v>
      </c>
      <c r="F61" s="4" t="s">
        <v>162</v>
      </c>
      <c r="G61" s="5" t="s">
        <v>14</v>
      </c>
      <c r="H61" s="3">
        <v>0</v>
      </c>
      <c r="I61" s="3">
        <v>0</v>
      </c>
      <c r="J61" s="99">
        <f t="shared" si="0"/>
        <v>0</v>
      </c>
      <c r="K61" s="22" t="s">
        <v>200</v>
      </c>
      <c r="L61" s="12" t="s">
        <v>17</v>
      </c>
      <c r="M61" s="9">
        <v>12.24</v>
      </c>
      <c r="N61" s="1" t="s">
        <v>18</v>
      </c>
      <c r="O61" s="10">
        <f>IF(N61="","ERREUR",VLOOKUP(N61,'ANX 1 - Légende - appd 2'!T:U,2,FALSE))</f>
        <v>1</v>
      </c>
      <c r="P61" s="1" t="s">
        <v>18</v>
      </c>
      <c r="Q61" s="11">
        <f>IF(P61="","ERREUR",VLOOKUP(P61,'ANX 1 - Légende - appd 2'!W:X,2,FALSE))</f>
        <v>1</v>
      </c>
      <c r="R61" s="4" t="s">
        <v>252</v>
      </c>
      <c r="S61" s="121">
        <f>IF(R61="","",VLOOKUP(R61,'ANX 1 - Légende - appd 2'!D:E,2,FALSE))</f>
        <v>52</v>
      </c>
      <c r="T61" s="105" t="s">
        <v>187</v>
      </c>
      <c r="U61" s="101">
        <f t="shared" si="4"/>
        <v>636.48</v>
      </c>
      <c r="V61" s="101">
        <f t="shared" si="5"/>
        <v>636.48</v>
      </c>
      <c r="W61" s="102">
        <f>IF(A61="","",VLOOKUP(G61,'ANX 1 - Légende - appd 2'!$M$10:$N$33,2,FALSE))</f>
        <v>250</v>
      </c>
      <c r="X61" s="103">
        <f t="shared" si="6"/>
        <v>2.5459200000000002</v>
      </c>
    </row>
    <row r="62" spans="1:24" ht="30" customHeight="1" x14ac:dyDescent="0.3">
      <c r="A62" s="13" t="s">
        <v>199</v>
      </c>
      <c r="B62" s="23">
        <v>2</v>
      </c>
      <c r="C62" s="24" t="s">
        <v>62</v>
      </c>
      <c r="D62" s="91">
        <v>2</v>
      </c>
      <c r="E62" s="6">
        <v>2</v>
      </c>
      <c r="F62" s="8" t="s">
        <v>163</v>
      </c>
      <c r="G62" s="1" t="s">
        <v>427</v>
      </c>
      <c r="H62" s="6">
        <v>2</v>
      </c>
      <c r="I62" s="6">
        <v>2.88</v>
      </c>
      <c r="J62" s="99">
        <f t="shared" si="0"/>
        <v>11.52</v>
      </c>
      <c r="K62" s="22" t="s">
        <v>200</v>
      </c>
      <c r="L62" s="12" t="s">
        <v>17</v>
      </c>
      <c r="M62" s="93">
        <v>22.22</v>
      </c>
      <c r="N62" s="1" t="s">
        <v>18</v>
      </c>
      <c r="O62" s="10">
        <f>IF(N62="","ERREUR",VLOOKUP(N62,'ANX 1 - Légende - appd 2'!T:U,2,FALSE))</f>
        <v>1</v>
      </c>
      <c r="P62" s="1" t="s">
        <v>18</v>
      </c>
      <c r="Q62" s="11">
        <f>IF(P62="","ERREUR",VLOOKUP(P62,'ANX 1 - Légende - appd 2'!W:X,2,FALSE))</f>
        <v>1</v>
      </c>
      <c r="R62" s="106" t="s">
        <v>467</v>
      </c>
      <c r="S62" s="121">
        <f>IF(R62="","",VLOOKUP(R62,'ANX 1 - Légende - appd 2'!D:E,2,FALSE))</f>
        <v>0</v>
      </c>
      <c r="T62" s="105" t="s">
        <v>205</v>
      </c>
      <c r="U62" s="101">
        <f t="shared" si="4"/>
        <v>0</v>
      </c>
      <c r="V62" s="101">
        <f t="shared" si="5"/>
        <v>0</v>
      </c>
      <c r="W62" s="102">
        <f>IF(A62="","",VLOOKUP(G62,'ANX 1 - Légende - appd 2'!$M$10:$N$33,2,FALSE))</f>
        <v>180</v>
      </c>
      <c r="X62" s="103">
        <f t="shared" si="6"/>
        <v>0</v>
      </c>
    </row>
    <row r="63" spans="1:24" ht="30" customHeight="1" x14ac:dyDescent="0.3">
      <c r="A63" s="13" t="s">
        <v>199</v>
      </c>
      <c r="B63" s="23">
        <v>2</v>
      </c>
      <c r="C63" s="24" t="s">
        <v>62</v>
      </c>
      <c r="D63" s="91">
        <v>2</v>
      </c>
      <c r="E63" s="6">
        <v>2</v>
      </c>
      <c r="F63" s="8" t="s">
        <v>164</v>
      </c>
      <c r="G63" s="1" t="s">
        <v>427</v>
      </c>
      <c r="H63" s="6">
        <v>1</v>
      </c>
      <c r="I63" s="6">
        <v>1.44</v>
      </c>
      <c r="J63" s="99">
        <f t="shared" si="0"/>
        <v>2.88</v>
      </c>
      <c r="K63" s="22" t="s">
        <v>200</v>
      </c>
      <c r="L63" s="12" t="s">
        <v>17</v>
      </c>
      <c r="M63" s="93">
        <v>22.509999999999998</v>
      </c>
      <c r="N63" s="1" t="s">
        <v>18</v>
      </c>
      <c r="O63" s="10">
        <f>IF(N63="","ERREUR",VLOOKUP(N63,'ANX 1 - Légende - appd 2'!T:U,2,FALSE))</f>
        <v>1</v>
      </c>
      <c r="P63" s="1" t="s">
        <v>18</v>
      </c>
      <c r="Q63" s="11">
        <f>IF(P63="","ERREUR",VLOOKUP(P63,'ANX 1 - Légende - appd 2'!W:X,2,FALSE))</f>
        <v>1</v>
      </c>
      <c r="R63" s="106" t="s">
        <v>467</v>
      </c>
      <c r="S63" s="121">
        <f>IF(R63="","",VLOOKUP(R63,'ANX 1 - Légende - appd 2'!D:E,2,FALSE))</f>
        <v>0</v>
      </c>
      <c r="T63" s="105" t="s">
        <v>205</v>
      </c>
      <c r="U63" s="101">
        <f t="shared" si="4"/>
        <v>0</v>
      </c>
      <c r="V63" s="101">
        <f t="shared" si="5"/>
        <v>0</v>
      </c>
      <c r="W63" s="102">
        <f>IF(A63="","",VLOOKUP(G63,'ANX 1 - Légende - appd 2'!$M$10:$N$33,2,FALSE))</f>
        <v>180</v>
      </c>
      <c r="X63" s="103">
        <f t="shared" si="6"/>
        <v>0</v>
      </c>
    </row>
    <row r="64" spans="1:24" ht="30" customHeight="1" x14ac:dyDescent="0.3">
      <c r="A64" s="13" t="s">
        <v>199</v>
      </c>
      <c r="B64" s="23">
        <v>2</v>
      </c>
      <c r="C64" s="24" t="s">
        <v>62</v>
      </c>
      <c r="D64" s="91">
        <v>2</v>
      </c>
      <c r="E64" s="6">
        <v>2</v>
      </c>
      <c r="F64" s="8" t="s">
        <v>165</v>
      </c>
      <c r="G64" s="1" t="s">
        <v>427</v>
      </c>
      <c r="H64" s="6">
        <v>2</v>
      </c>
      <c r="I64" s="6">
        <v>2.88</v>
      </c>
      <c r="J64" s="99">
        <f t="shared" si="0"/>
        <v>11.52</v>
      </c>
      <c r="K64" s="22" t="s">
        <v>200</v>
      </c>
      <c r="L64" s="12" t="s">
        <v>17</v>
      </c>
      <c r="M64" s="93">
        <v>28.52</v>
      </c>
      <c r="N64" s="1" t="s">
        <v>18</v>
      </c>
      <c r="O64" s="10">
        <f>IF(N64="","ERREUR",VLOOKUP(N64,'ANX 1 - Légende - appd 2'!T:U,2,FALSE))</f>
        <v>1</v>
      </c>
      <c r="P64" s="1" t="s">
        <v>18</v>
      </c>
      <c r="Q64" s="11">
        <f>IF(P64="","ERREUR",VLOOKUP(P64,'ANX 1 - Légende - appd 2'!W:X,2,FALSE))</f>
        <v>1</v>
      </c>
      <c r="R64" s="106" t="s">
        <v>467</v>
      </c>
      <c r="S64" s="121">
        <f>IF(R64="","",VLOOKUP(R64,'ANX 1 - Légende - appd 2'!D:E,2,FALSE))</f>
        <v>0</v>
      </c>
      <c r="T64" s="105" t="s">
        <v>204</v>
      </c>
      <c r="U64" s="101">
        <f t="shared" si="4"/>
        <v>0</v>
      </c>
      <c r="V64" s="101">
        <f t="shared" si="5"/>
        <v>0</v>
      </c>
      <c r="W64" s="102">
        <f>IF(A64="","",VLOOKUP(G64,'ANX 1 - Légende - appd 2'!$M$10:$N$33,2,FALSE))</f>
        <v>180</v>
      </c>
      <c r="X64" s="103">
        <f t="shared" si="6"/>
        <v>0</v>
      </c>
    </row>
    <row r="65" spans="1:24" ht="30" customHeight="1" x14ac:dyDescent="0.3">
      <c r="A65" s="13" t="s">
        <v>199</v>
      </c>
      <c r="B65" s="23">
        <v>2</v>
      </c>
      <c r="C65" s="24" t="s">
        <v>62</v>
      </c>
      <c r="D65" s="91">
        <v>2</v>
      </c>
      <c r="E65" s="6">
        <v>2</v>
      </c>
      <c r="F65" s="8" t="s">
        <v>166</v>
      </c>
      <c r="G65" s="1" t="s">
        <v>427</v>
      </c>
      <c r="H65" s="6">
        <v>2</v>
      </c>
      <c r="I65" s="6">
        <v>2.88</v>
      </c>
      <c r="J65" s="99">
        <f t="shared" si="0"/>
        <v>11.52</v>
      </c>
      <c r="K65" s="22" t="s">
        <v>200</v>
      </c>
      <c r="L65" s="12" t="s">
        <v>17</v>
      </c>
      <c r="M65" s="93">
        <v>30.94</v>
      </c>
      <c r="N65" s="1" t="s">
        <v>18</v>
      </c>
      <c r="O65" s="10">
        <f>IF(N65="","ERREUR",VLOOKUP(N65,'ANX 1 - Légende - appd 2'!T:U,2,FALSE))</f>
        <v>1</v>
      </c>
      <c r="P65" s="1" t="s">
        <v>18</v>
      </c>
      <c r="Q65" s="11">
        <f>IF(P65="","ERREUR",VLOOKUP(P65,'ANX 1 - Légende - appd 2'!W:X,2,FALSE))</f>
        <v>1</v>
      </c>
      <c r="R65" s="106" t="s">
        <v>467</v>
      </c>
      <c r="S65" s="121">
        <f>IF(R65="","",VLOOKUP(R65,'ANX 1 - Légende - appd 2'!D:E,2,FALSE))</f>
        <v>0</v>
      </c>
      <c r="T65" s="105" t="s">
        <v>256</v>
      </c>
      <c r="U65" s="101">
        <f t="shared" si="4"/>
        <v>0</v>
      </c>
      <c r="V65" s="101">
        <f t="shared" si="5"/>
        <v>0</v>
      </c>
      <c r="W65" s="102">
        <f>IF(A65="","",VLOOKUP(G65,'ANX 1 - Légende - appd 2'!$M$10:$N$33,2,FALSE))</f>
        <v>180</v>
      </c>
      <c r="X65" s="103">
        <f t="shared" si="6"/>
        <v>0</v>
      </c>
    </row>
    <row r="66" spans="1:24" ht="30" customHeight="1" x14ac:dyDescent="0.3">
      <c r="A66" s="13" t="s">
        <v>199</v>
      </c>
      <c r="B66" s="23">
        <v>2</v>
      </c>
      <c r="C66" s="24" t="s">
        <v>62</v>
      </c>
      <c r="D66" s="91">
        <v>2</v>
      </c>
      <c r="E66" s="6">
        <v>2</v>
      </c>
      <c r="F66" s="8" t="s">
        <v>167</v>
      </c>
      <c r="G66" s="1" t="s">
        <v>427</v>
      </c>
      <c r="H66" s="6">
        <v>2</v>
      </c>
      <c r="I66" s="6">
        <v>2.88</v>
      </c>
      <c r="J66" s="99">
        <f t="shared" si="0"/>
        <v>11.52</v>
      </c>
      <c r="K66" s="22" t="s">
        <v>200</v>
      </c>
      <c r="L66" s="12" t="s">
        <v>17</v>
      </c>
      <c r="M66" s="93">
        <v>30.490000000000002</v>
      </c>
      <c r="N66" s="1" t="s">
        <v>18</v>
      </c>
      <c r="O66" s="10">
        <f>IF(N66="","ERREUR",VLOOKUP(N66,'ANX 1 - Légende - appd 2'!T:U,2,FALSE))</f>
        <v>1</v>
      </c>
      <c r="P66" s="1" t="s">
        <v>18</v>
      </c>
      <c r="Q66" s="11">
        <f>IF(P66="","ERREUR",VLOOKUP(P66,'ANX 1 - Légende - appd 2'!W:X,2,FALSE))</f>
        <v>1</v>
      </c>
      <c r="R66" s="106" t="s">
        <v>467</v>
      </c>
      <c r="S66" s="121">
        <f>IF(R66="","",VLOOKUP(R66,'ANX 1 - Légende - appd 2'!D:E,2,FALSE))</f>
        <v>0</v>
      </c>
      <c r="T66" s="105" t="s">
        <v>256</v>
      </c>
      <c r="U66" s="101">
        <f t="shared" si="4"/>
        <v>0</v>
      </c>
      <c r="V66" s="101">
        <f t="shared" si="5"/>
        <v>0</v>
      </c>
      <c r="W66" s="102">
        <f>IF(A66="","",VLOOKUP(G66,'ANX 1 - Légende - appd 2'!$M$10:$N$33,2,FALSE))</f>
        <v>180</v>
      </c>
      <c r="X66" s="103">
        <f t="shared" si="6"/>
        <v>0</v>
      </c>
    </row>
    <row r="67" spans="1:24" ht="30" customHeight="1" x14ac:dyDescent="0.3">
      <c r="A67" s="13" t="s">
        <v>199</v>
      </c>
      <c r="B67" s="23">
        <v>2</v>
      </c>
      <c r="C67" s="24" t="s">
        <v>62</v>
      </c>
      <c r="D67" s="91">
        <v>2</v>
      </c>
      <c r="E67" s="6">
        <v>2</v>
      </c>
      <c r="F67" s="8" t="s">
        <v>168</v>
      </c>
      <c r="G67" s="1" t="s">
        <v>427</v>
      </c>
      <c r="H67" s="6">
        <v>2</v>
      </c>
      <c r="I67" s="6">
        <v>2.88</v>
      </c>
      <c r="J67" s="99">
        <f t="shared" si="0"/>
        <v>11.52</v>
      </c>
      <c r="K67" s="22" t="s">
        <v>200</v>
      </c>
      <c r="L67" s="12" t="s">
        <v>17</v>
      </c>
      <c r="M67" s="93">
        <v>23.63</v>
      </c>
      <c r="N67" s="1" t="s">
        <v>18</v>
      </c>
      <c r="O67" s="10">
        <f>IF(N67="","ERREUR",VLOOKUP(N67,'ANX 1 - Légende - appd 2'!T:U,2,FALSE))</f>
        <v>1</v>
      </c>
      <c r="P67" s="1" t="s">
        <v>18</v>
      </c>
      <c r="Q67" s="11">
        <f>IF(P67="","ERREUR",VLOOKUP(P67,'ANX 1 - Légende - appd 2'!W:X,2,FALSE))</f>
        <v>1</v>
      </c>
      <c r="R67" s="106" t="s">
        <v>467</v>
      </c>
      <c r="S67" s="121">
        <f>IF(R67="","",VLOOKUP(R67,'ANX 1 - Légende - appd 2'!D:E,2,FALSE))</f>
        <v>0</v>
      </c>
      <c r="T67" s="105" t="s">
        <v>204</v>
      </c>
      <c r="U67" s="101">
        <f t="shared" si="4"/>
        <v>0</v>
      </c>
      <c r="V67" s="101">
        <f t="shared" si="5"/>
        <v>0</v>
      </c>
      <c r="W67" s="102">
        <f>IF(A67="","",VLOOKUP(G67,'ANX 1 - Légende - appd 2'!$M$10:$N$33,2,FALSE))</f>
        <v>180</v>
      </c>
      <c r="X67" s="103">
        <f t="shared" si="6"/>
        <v>0</v>
      </c>
    </row>
    <row r="68" spans="1:24" ht="30" customHeight="1" x14ac:dyDescent="0.3">
      <c r="A68" s="13" t="s">
        <v>199</v>
      </c>
      <c r="B68" s="23">
        <v>2</v>
      </c>
      <c r="C68" s="24" t="s">
        <v>62</v>
      </c>
      <c r="D68" s="91">
        <v>2</v>
      </c>
      <c r="E68" s="6">
        <v>2</v>
      </c>
      <c r="F68" s="8" t="s">
        <v>169</v>
      </c>
      <c r="G68" s="1" t="s">
        <v>427</v>
      </c>
      <c r="H68" s="6">
        <v>1</v>
      </c>
      <c r="I68" s="6">
        <v>1.44</v>
      </c>
      <c r="J68" s="99">
        <f t="shared" si="0"/>
        <v>2.88</v>
      </c>
      <c r="K68" s="22" t="s">
        <v>200</v>
      </c>
      <c r="L68" s="12" t="s">
        <v>17</v>
      </c>
      <c r="M68" s="93">
        <v>23.26</v>
      </c>
      <c r="N68" s="1" t="s">
        <v>18</v>
      </c>
      <c r="O68" s="10">
        <f>IF(N68="","ERREUR",VLOOKUP(N68,'ANX 1 - Légende - appd 2'!T:U,2,FALSE))</f>
        <v>1</v>
      </c>
      <c r="P68" s="1" t="s">
        <v>18</v>
      </c>
      <c r="Q68" s="11">
        <f>IF(P68="","ERREUR",VLOOKUP(P68,'ANX 1 - Légende - appd 2'!W:X,2,FALSE))</f>
        <v>1</v>
      </c>
      <c r="R68" s="106" t="s">
        <v>467</v>
      </c>
      <c r="S68" s="121">
        <f>IF(R68="","",VLOOKUP(R68,'ANX 1 - Légende - appd 2'!D:E,2,FALSE))</f>
        <v>0</v>
      </c>
      <c r="T68" s="105" t="s">
        <v>204</v>
      </c>
      <c r="U68" s="101">
        <f t="shared" si="4"/>
        <v>0</v>
      </c>
      <c r="V68" s="101">
        <f t="shared" si="5"/>
        <v>0</v>
      </c>
      <c r="W68" s="102">
        <f>IF(A68="","",VLOOKUP(G68,'ANX 1 - Légende - appd 2'!$M$10:$N$33,2,FALSE))</f>
        <v>180</v>
      </c>
      <c r="X68" s="103">
        <f t="shared" si="6"/>
        <v>0</v>
      </c>
    </row>
    <row r="69" spans="1:24" ht="30" customHeight="1" x14ac:dyDescent="0.3">
      <c r="A69" s="13" t="s">
        <v>199</v>
      </c>
      <c r="B69" s="23">
        <v>2</v>
      </c>
      <c r="C69" s="24" t="s">
        <v>62</v>
      </c>
      <c r="D69" s="91">
        <v>2</v>
      </c>
      <c r="E69" s="6">
        <v>2</v>
      </c>
      <c r="F69" s="8" t="s">
        <v>170</v>
      </c>
      <c r="G69" s="1" t="s">
        <v>427</v>
      </c>
      <c r="H69" s="6">
        <v>2</v>
      </c>
      <c r="I69" s="6">
        <v>2.88</v>
      </c>
      <c r="J69" s="99">
        <f t="shared" si="0"/>
        <v>11.52</v>
      </c>
      <c r="K69" s="22" t="s">
        <v>200</v>
      </c>
      <c r="L69" s="12" t="s">
        <v>17</v>
      </c>
      <c r="M69" s="93">
        <v>25.1</v>
      </c>
      <c r="N69" s="1" t="s">
        <v>18</v>
      </c>
      <c r="O69" s="10">
        <f>IF(N69="","ERREUR",VLOOKUP(N69,'ANX 1 - Légende - appd 2'!T:U,2,FALSE))</f>
        <v>1</v>
      </c>
      <c r="P69" s="1" t="s">
        <v>18</v>
      </c>
      <c r="Q69" s="11">
        <f>IF(P69="","ERREUR",VLOOKUP(P69,'ANX 1 - Légende - appd 2'!W:X,2,FALSE))</f>
        <v>1</v>
      </c>
      <c r="R69" s="106" t="s">
        <v>467</v>
      </c>
      <c r="S69" s="121">
        <f>IF(R69="","",VLOOKUP(R69,'ANX 1 - Légende - appd 2'!D:E,2,FALSE))</f>
        <v>0</v>
      </c>
      <c r="T69" s="105" t="s">
        <v>204</v>
      </c>
      <c r="U69" s="101">
        <f t="shared" si="4"/>
        <v>0</v>
      </c>
      <c r="V69" s="101">
        <f t="shared" si="5"/>
        <v>0</v>
      </c>
      <c r="W69" s="102">
        <f>IF(A69="","",VLOOKUP(G69,'ANX 1 - Légende - appd 2'!$M$10:$N$33,2,FALSE))</f>
        <v>180</v>
      </c>
      <c r="X69" s="103">
        <f t="shared" si="6"/>
        <v>0</v>
      </c>
    </row>
    <row r="70" spans="1:24" ht="30" customHeight="1" x14ac:dyDescent="0.3">
      <c r="A70" s="13" t="s">
        <v>199</v>
      </c>
      <c r="B70" s="23">
        <v>2</v>
      </c>
      <c r="C70" s="24" t="s">
        <v>62</v>
      </c>
      <c r="D70" s="91">
        <v>2</v>
      </c>
      <c r="E70" s="6">
        <v>2</v>
      </c>
      <c r="F70" s="8" t="s">
        <v>171</v>
      </c>
      <c r="G70" s="1" t="s">
        <v>427</v>
      </c>
      <c r="H70" s="6">
        <v>1</v>
      </c>
      <c r="I70" s="6">
        <v>1.44</v>
      </c>
      <c r="J70" s="99">
        <f t="shared" si="0"/>
        <v>2.88</v>
      </c>
      <c r="K70" s="22" t="s">
        <v>200</v>
      </c>
      <c r="L70" s="12" t="s">
        <v>17</v>
      </c>
      <c r="M70" s="93">
        <v>23.81</v>
      </c>
      <c r="N70" s="1" t="s">
        <v>18</v>
      </c>
      <c r="O70" s="10">
        <f>IF(N70="","ERREUR",VLOOKUP(N70,'ANX 1 - Légende - appd 2'!T:U,2,FALSE))</f>
        <v>1</v>
      </c>
      <c r="P70" s="1" t="s">
        <v>18</v>
      </c>
      <c r="Q70" s="11">
        <f>IF(P70="","ERREUR",VLOOKUP(P70,'ANX 1 - Légende - appd 2'!W:X,2,FALSE))</f>
        <v>1</v>
      </c>
      <c r="R70" s="106" t="s">
        <v>467</v>
      </c>
      <c r="S70" s="121">
        <f>IF(R70="","",VLOOKUP(R70,'ANX 1 - Légende - appd 2'!D:E,2,FALSE))</f>
        <v>0</v>
      </c>
      <c r="T70" s="105" t="s">
        <v>204</v>
      </c>
      <c r="U70" s="101">
        <f t="shared" si="4"/>
        <v>0</v>
      </c>
      <c r="V70" s="101">
        <f t="shared" si="5"/>
        <v>0</v>
      </c>
      <c r="W70" s="102">
        <f>IF(A70="","",VLOOKUP(G70,'ANX 1 - Légende - appd 2'!$M$10:$N$33,2,FALSE))</f>
        <v>180</v>
      </c>
      <c r="X70" s="103">
        <f t="shared" si="6"/>
        <v>0</v>
      </c>
    </row>
    <row r="71" spans="1:24" ht="30" customHeight="1" x14ac:dyDescent="0.3">
      <c r="A71" s="13" t="s">
        <v>199</v>
      </c>
      <c r="B71" s="23">
        <v>2</v>
      </c>
      <c r="C71" s="24" t="s">
        <v>62</v>
      </c>
      <c r="D71" s="91">
        <v>2</v>
      </c>
      <c r="E71" s="6">
        <v>2</v>
      </c>
      <c r="F71" s="8" t="s">
        <v>172</v>
      </c>
      <c r="G71" s="1" t="s">
        <v>427</v>
      </c>
      <c r="H71" s="6">
        <v>2</v>
      </c>
      <c r="I71" s="6">
        <v>2.88</v>
      </c>
      <c r="J71" s="99">
        <f t="shared" si="0"/>
        <v>11.52</v>
      </c>
      <c r="K71" s="22" t="s">
        <v>200</v>
      </c>
      <c r="L71" s="12" t="s">
        <v>17</v>
      </c>
      <c r="M71" s="93">
        <v>24.029999999999998</v>
      </c>
      <c r="N71" s="1" t="s">
        <v>18</v>
      </c>
      <c r="O71" s="10">
        <f>IF(N71="","ERREUR",VLOOKUP(N71,'ANX 1 - Légende - appd 2'!T:U,2,FALSE))</f>
        <v>1</v>
      </c>
      <c r="P71" s="1" t="s">
        <v>18</v>
      </c>
      <c r="Q71" s="11">
        <f>IF(P71="","ERREUR",VLOOKUP(P71,'ANX 1 - Légende - appd 2'!W:X,2,FALSE))</f>
        <v>1</v>
      </c>
      <c r="R71" s="106" t="s">
        <v>467</v>
      </c>
      <c r="S71" s="121">
        <f>IF(R71="","",VLOOKUP(R71,'ANX 1 - Légende - appd 2'!D:E,2,FALSE))</f>
        <v>0</v>
      </c>
      <c r="T71" s="105" t="s">
        <v>204</v>
      </c>
      <c r="U71" s="101">
        <f t="shared" si="4"/>
        <v>0</v>
      </c>
      <c r="V71" s="101">
        <f t="shared" si="5"/>
        <v>0</v>
      </c>
      <c r="W71" s="102">
        <f>IF(A71="","",VLOOKUP(G71,'ANX 1 - Légende - appd 2'!$M$10:$N$33,2,FALSE))</f>
        <v>180</v>
      </c>
      <c r="X71" s="103">
        <f t="shared" si="6"/>
        <v>0</v>
      </c>
    </row>
    <row r="72" spans="1:24" s="95" customFormat="1" ht="30" customHeight="1" x14ac:dyDescent="0.3">
      <c r="A72" s="13" t="s">
        <v>199</v>
      </c>
      <c r="B72" s="23">
        <v>2</v>
      </c>
      <c r="C72" s="24" t="s">
        <v>62</v>
      </c>
      <c r="D72" s="91">
        <v>2</v>
      </c>
      <c r="E72" s="6">
        <v>2</v>
      </c>
      <c r="F72" s="8" t="s">
        <v>173</v>
      </c>
      <c r="G72" s="1" t="s">
        <v>427</v>
      </c>
      <c r="H72" s="6">
        <v>2</v>
      </c>
      <c r="I72" s="6">
        <v>2.88</v>
      </c>
      <c r="J72" s="99">
        <f t="shared" si="0"/>
        <v>11.52</v>
      </c>
      <c r="K72" s="22" t="s">
        <v>200</v>
      </c>
      <c r="L72" s="12" t="s">
        <v>17</v>
      </c>
      <c r="M72" s="93">
        <v>29.47</v>
      </c>
      <c r="N72" s="1" t="s">
        <v>18</v>
      </c>
      <c r="O72" s="10">
        <f>IF(N72="","ERREUR",VLOOKUP(N72,'ANX 1 - Légende - appd 2'!T:U,2,FALSE))</f>
        <v>1</v>
      </c>
      <c r="P72" s="1" t="s">
        <v>18</v>
      </c>
      <c r="Q72" s="11">
        <f>IF(P72="","ERREUR",VLOOKUP(P72,'ANX 1 - Légende - appd 2'!W:X,2,FALSE))</f>
        <v>1</v>
      </c>
      <c r="R72" s="106" t="s">
        <v>467</v>
      </c>
      <c r="S72" s="121">
        <f>IF(R72="","",VLOOKUP(R72,'ANX 1 - Légende - appd 2'!D:E,2,FALSE))</f>
        <v>0</v>
      </c>
      <c r="T72" s="105" t="s">
        <v>205</v>
      </c>
      <c r="U72" s="101">
        <f t="shared" si="4"/>
        <v>0</v>
      </c>
      <c r="V72" s="101">
        <f t="shared" si="5"/>
        <v>0</v>
      </c>
      <c r="W72" s="102">
        <f>IF(A72="","",VLOOKUP(G72,'ANX 1 - Légende - appd 2'!$M$10:$N$33,2,FALSE))</f>
        <v>180</v>
      </c>
      <c r="X72" s="103">
        <f t="shared" si="6"/>
        <v>0</v>
      </c>
    </row>
    <row r="73" spans="1:24" s="95" customFormat="1" ht="30" customHeight="1" x14ac:dyDescent="0.3">
      <c r="A73" s="13" t="s">
        <v>199</v>
      </c>
      <c r="B73" s="23">
        <v>2</v>
      </c>
      <c r="C73" s="24" t="s">
        <v>62</v>
      </c>
      <c r="D73" s="91">
        <v>2</v>
      </c>
      <c r="E73" s="6">
        <v>2</v>
      </c>
      <c r="F73" s="8" t="s">
        <v>174</v>
      </c>
      <c r="G73" s="1" t="s">
        <v>427</v>
      </c>
      <c r="H73" s="6">
        <v>1</v>
      </c>
      <c r="I73" s="6">
        <v>1.44</v>
      </c>
      <c r="J73" s="99">
        <f t="shared" si="0"/>
        <v>2.88</v>
      </c>
      <c r="K73" s="22" t="s">
        <v>200</v>
      </c>
      <c r="L73" s="12" t="s">
        <v>17</v>
      </c>
      <c r="M73" s="93">
        <v>21.18</v>
      </c>
      <c r="N73" s="1" t="s">
        <v>18</v>
      </c>
      <c r="O73" s="10">
        <f>IF(N73="","ERREUR",VLOOKUP(N73,'ANX 1 - Légende - appd 2'!T:U,2,FALSE))</f>
        <v>1</v>
      </c>
      <c r="P73" s="1" t="s">
        <v>18</v>
      </c>
      <c r="Q73" s="11">
        <f>IF(P73="","ERREUR",VLOOKUP(P73,'ANX 1 - Légende - appd 2'!W:X,2,FALSE))</f>
        <v>1</v>
      </c>
      <c r="R73" s="106" t="s">
        <v>467</v>
      </c>
      <c r="S73" s="121">
        <f>IF(R73="","",VLOOKUP(R73,'ANX 1 - Légende - appd 2'!D:E,2,FALSE))</f>
        <v>0</v>
      </c>
      <c r="T73" s="105" t="s">
        <v>205</v>
      </c>
      <c r="U73" s="101">
        <f t="shared" si="4"/>
        <v>0</v>
      </c>
      <c r="V73" s="101">
        <f t="shared" si="5"/>
        <v>0</v>
      </c>
      <c r="W73" s="102">
        <f>IF(A73="","",VLOOKUP(G73,'ANX 1 - Légende - appd 2'!$M$10:$N$33,2,FALSE))</f>
        <v>180</v>
      </c>
      <c r="X73" s="103">
        <f t="shared" si="6"/>
        <v>0</v>
      </c>
    </row>
    <row r="74" spans="1:24" s="95" customFormat="1" ht="30" customHeight="1" x14ac:dyDescent="0.3">
      <c r="A74" s="13" t="s">
        <v>199</v>
      </c>
      <c r="B74" s="23">
        <v>2</v>
      </c>
      <c r="C74" s="24" t="s">
        <v>62</v>
      </c>
      <c r="D74" s="91">
        <v>2</v>
      </c>
      <c r="E74" s="6">
        <v>2</v>
      </c>
      <c r="F74" s="8" t="s">
        <v>175</v>
      </c>
      <c r="G74" s="1" t="s">
        <v>427</v>
      </c>
      <c r="H74" s="6">
        <v>1</v>
      </c>
      <c r="I74" s="6">
        <v>1.44</v>
      </c>
      <c r="J74" s="99">
        <f t="shared" si="0"/>
        <v>2.88</v>
      </c>
      <c r="K74" s="22" t="s">
        <v>200</v>
      </c>
      <c r="L74" s="12" t="s">
        <v>17</v>
      </c>
      <c r="M74" s="93">
        <v>24.12</v>
      </c>
      <c r="N74" s="1" t="s">
        <v>18</v>
      </c>
      <c r="O74" s="10">
        <f>IF(N74="","ERREUR",VLOOKUP(N74,'ANX 1 - Légende - appd 2'!T:U,2,FALSE))</f>
        <v>1</v>
      </c>
      <c r="P74" s="1" t="s">
        <v>18</v>
      </c>
      <c r="Q74" s="11">
        <f>IF(P74="","ERREUR",VLOOKUP(P74,'ANX 1 - Légende - appd 2'!W:X,2,FALSE))</f>
        <v>1</v>
      </c>
      <c r="R74" s="106" t="s">
        <v>467</v>
      </c>
      <c r="S74" s="121">
        <f>IF(R74="","",VLOOKUP(R74,'ANX 1 - Légende - appd 2'!D:E,2,FALSE))</f>
        <v>0</v>
      </c>
      <c r="T74" s="105" t="s">
        <v>205</v>
      </c>
      <c r="U74" s="101">
        <f t="shared" si="4"/>
        <v>0</v>
      </c>
      <c r="V74" s="101">
        <f t="shared" si="5"/>
        <v>0</v>
      </c>
      <c r="W74" s="102">
        <f>IF(A74="","",VLOOKUP(G74,'ANX 1 - Légende - appd 2'!$M$10:$N$33,2,FALSE))</f>
        <v>180</v>
      </c>
      <c r="X74" s="103">
        <f t="shared" si="6"/>
        <v>0</v>
      </c>
    </row>
    <row r="75" spans="1:24" s="95" customFormat="1" ht="30" customHeight="1" x14ac:dyDescent="0.3">
      <c r="A75" s="13" t="s">
        <v>199</v>
      </c>
      <c r="B75" s="23">
        <v>2</v>
      </c>
      <c r="C75" s="24" t="s">
        <v>62</v>
      </c>
      <c r="D75" s="91">
        <v>2</v>
      </c>
      <c r="E75" s="6">
        <v>2</v>
      </c>
      <c r="F75" s="8" t="s">
        <v>176</v>
      </c>
      <c r="G75" s="1" t="s">
        <v>427</v>
      </c>
      <c r="H75" s="6">
        <v>1</v>
      </c>
      <c r="I75" s="6">
        <v>1.44</v>
      </c>
      <c r="J75" s="99">
        <f t="shared" si="0"/>
        <v>2.88</v>
      </c>
      <c r="K75" s="22" t="s">
        <v>200</v>
      </c>
      <c r="L75" s="12" t="s">
        <v>17</v>
      </c>
      <c r="M75" s="93">
        <v>21.22</v>
      </c>
      <c r="N75" s="1" t="s">
        <v>18</v>
      </c>
      <c r="O75" s="10">
        <f>IF(N75="","ERREUR",VLOOKUP(N75,'ANX 1 - Légende - appd 2'!T:U,2,FALSE))</f>
        <v>1</v>
      </c>
      <c r="P75" s="1" t="s">
        <v>18</v>
      </c>
      <c r="Q75" s="11">
        <f>IF(P75="","ERREUR",VLOOKUP(P75,'ANX 1 - Légende - appd 2'!W:X,2,FALSE))</f>
        <v>1</v>
      </c>
      <c r="R75" s="106" t="s">
        <v>467</v>
      </c>
      <c r="S75" s="121">
        <f>IF(R75="","",VLOOKUP(R75,'ANX 1 - Légende - appd 2'!D:E,2,FALSE))</f>
        <v>0</v>
      </c>
      <c r="T75" s="105" t="s">
        <v>204</v>
      </c>
      <c r="U75" s="101">
        <f t="shared" si="4"/>
        <v>0</v>
      </c>
      <c r="V75" s="101">
        <f t="shared" si="5"/>
        <v>0</v>
      </c>
      <c r="W75" s="102">
        <f>IF(A75="","",VLOOKUP(G75,'ANX 1 - Légende - appd 2'!$M$10:$N$33,2,FALSE))</f>
        <v>180</v>
      </c>
      <c r="X75" s="103">
        <f t="shared" si="6"/>
        <v>0</v>
      </c>
    </row>
    <row r="76" spans="1:24" s="95" customFormat="1" ht="30" customHeight="1" x14ac:dyDescent="0.3">
      <c r="A76" s="13" t="s">
        <v>199</v>
      </c>
      <c r="B76" s="23">
        <v>2</v>
      </c>
      <c r="C76" s="24" t="s">
        <v>62</v>
      </c>
      <c r="D76" s="91">
        <v>2</v>
      </c>
      <c r="E76" s="6">
        <v>2</v>
      </c>
      <c r="F76" s="8" t="s">
        <v>177</v>
      </c>
      <c r="G76" s="1" t="s">
        <v>427</v>
      </c>
      <c r="H76" s="6">
        <v>2</v>
      </c>
      <c r="I76" s="6">
        <v>2.88</v>
      </c>
      <c r="J76" s="99">
        <f t="shared" si="0"/>
        <v>11.52</v>
      </c>
      <c r="K76" s="22" t="s">
        <v>200</v>
      </c>
      <c r="L76" s="12" t="s">
        <v>17</v>
      </c>
      <c r="M76" s="93">
        <v>23.9</v>
      </c>
      <c r="N76" s="1" t="s">
        <v>18</v>
      </c>
      <c r="O76" s="10">
        <f>IF(N76="","ERREUR",VLOOKUP(N76,'ANX 1 - Légende - appd 2'!T:U,2,FALSE))</f>
        <v>1</v>
      </c>
      <c r="P76" s="1" t="s">
        <v>18</v>
      </c>
      <c r="Q76" s="11">
        <f>IF(P76="","ERREUR",VLOOKUP(P76,'ANX 1 - Légende - appd 2'!W:X,2,FALSE))</f>
        <v>1</v>
      </c>
      <c r="R76" s="106" t="s">
        <v>467</v>
      </c>
      <c r="S76" s="121">
        <f>IF(R76="","",VLOOKUP(R76,'ANX 1 - Légende - appd 2'!D:E,2,FALSE))</f>
        <v>0</v>
      </c>
      <c r="T76" s="105" t="s">
        <v>204</v>
      </c>
      <c r="U76" s="101">
        <f t="shared" si="4"/>
        <v>0</v>
      </c>
      <c r="V76" s="101">
        <f t="shared" si="5"/>
        <v>0</v>
      </c>
      <c r="W76" s="102">
        <f>IF(A76="","",VLOOKUP(G76,'ANX 1 - Légende - appd 2'!$M$10:$N$33,2,FALSE))</f>
        <v>180</v>
      </c>
      <c r="X76" s="103">
        <f t="shared" si="6"/>
        <v>0</v>
      </c>
    </row>
    <row r="77" spans="1:24" s="95" customFormat="1" ht="30" customHeight="1" x14ac:dyDescent="0.3">
      <c r="A77" s="13" t="s">
        <v>199</v>
      </c>
      <c r="B77" s="23">
        <v>2</v>
      </c>
      <c r="C77" s="24" t="s">
        <v>62</v>
      </c>
      <c r="D77" s="91">
        <v>2</v>
      </c>
      <c r="E77" s="6">
        <v>2</v>
      </c>
      <c r="F77" s="8" t="s">
        <v>178</v>
      </c>
      <c r="G77" s="1" t="s">
        <v>427</v>
      </c>
      <c r="H77" s="6">
        <v>1</v>
      </c>
      <c r="I77" s="6">
        <v>1.44</v>
      </c>
      <c r="J77" s="99">
        <f t="shared" si="0"/>
        <v>2.88</v>
      </c>
      <c r="K77" s="22" t="s">
        <v>200</v>
      </c>
      <c r="L77" s="12" t="s">
        <v>17</v>
      </c>
      <c r="M77" s="93">
        <v>19.3</v>
      </c>
      <c r="N77" s="1" t="s">
        <v>18</v>
      </c>
      <c r="O77" s="10">
        <f>IF(N77="","ERREUR",VLOOKUP(N77,'ANX 1 - Légende - appd 2'!T:U,2,FALSE))</f>
        <v>1</v>
      </c>
      <c r="P77" s="1" t="s">
        <v>18</v>
      </c>
      <c r="Q77" s="11">
        <f>IF(P77="","ERREUR",VLOOKUP(P77,'ANX 1 - Légende - appd 2'!W:X,2,FALSE))</f>
        <v>1</v>
      </c>
      <c r="R77" s="106" t="s">
        <v>467</v>
      </c>
      <c r="S77" s="121">
        <f>IF(R77="","",VLOOKUP(R77,'ANX 1 - Légende - appd 2'!D:E,2,FALSE))</f>
        <v>0</v>
      </c>
      <c r="T77" s="105" t="s">
        <v>204</v>
      </c>
      <c r="U77" s="101">
        <f t="shared" si="4"/>
        <v>0</v>
      </c>
      <c r="V77" s="101">
        <f t="shared" si="5"/>
        <v>0</v>
      </c>
      <c r="W77" s="102">
        <f>IF(A77="","",VLOOKUP(G77,'ANX 1 - Légende - appd 2'!$M$10:$N$33,2,FALSE))</f>
        <v>180</v>
      </c>
      <c r="X77" s="103">
        <f t="shared" si="6"/>
        <v>0</v>
      </c>
    </row>
    <row r="78" spans="1:24" s="95" customFormat="1" ht="30" customHeight="1" x14ac:dyDescent="0.3">
      <c r="A78" s="13" t="s">
        <v>199</v>
      </c>
      <c r="B78" s="23">
        <v>2</v>
      </c>
      <c r="C78" s="24" t="s">
        <v>62</v>
      </c>
      <c r="D78" s="91">
        <v>2</v>
      </c>
      <c r="E78" s="6">
        <v>2</v>
      </c>
      <c r="F78" s="8" t="s">
        <v>179</v>
      </c>
      <c r="G78" s="1" t="s">
        <v>427</v>
      </c>
      <c r="H78" s="6">
        <v>2</v>
      </c>
      <c r="I78" s="6">
        <v>2.88</v>
      </c>
      <c r="J78" s="99">
        <f t="shared" si="0"/>
        <v>11.52</v>
      </c>
      <c r="K78" s="22" t="s">
        <v>200</v>
      </c>
      <c r="L78" s="12" t="s">
        <v>17</v>
      </c>
      <c r="M78" s="93">
        <v>24.92</v>
      </c>
      <c r="N78" s="1" t="s">
        <v>18</v>
      </c>
      <c r="O78" s="10">
        <f>IF(N78="","ERREUR",VLOOKUP(N78,'ANX 1 - Légende - appd 2'!T:U,2,FALSE))</f>
        <v>1</v>
      </c>
      <c r="P78" s="1" t="s">
        <v>18</v>
      </c>
      <c r="Q78" s="11">
        <f>IF(P78="","ERREUR",VLOOKUP(P78,'ANX 1 - Légende - appd 2'!W:X,2,FALSE))</f>
        <v>1</v>
      </c>
      <c r="R78" s="106" t="s">
        <v>467</v>
      </c>
      <c r="S78" s="121">
        <f>IF(R78="","",VLOOKUP(R78,'ANX 1 - Légende - appd 2'!D:E,2,FALSE))</f>
        <v>0</v>
      </c>
      <c r="T78" s="105" t="s">
        <v>204</v>
      </c>
      <c r="U78" s="101">
        <f t="shared" si="4"/>
        <v>0</v>
      </c>
      <c r="V78" s="101">
        <f t="shared" si="5"/>
        <v>0</v>
      </c>
      <c r="W78" s="102">
        <f>IF(A78="","",VLOOKUP(G78,'ANX 1 - Légende - appd 2'!$M$10:$N$33,2,FALSE))</f>
        <v>180</v>
      </c>
      <c r="X78" s="103">
        <f t="shared" si="6"/>
        <v>0</v>
      </c>
    </row>
    <row r="79" spans="1:24" s="95" customFormat="1" ht="30" customHeight="1" x14ac:dyDescent="0.3">
      <c r="A79" s="13" t="s">
        <v>199</v>
      </c>
      <c r="B79" s="23">
        <v>1</v>
      </c>
      <c r="C79" s="24" t="s">
        <v>62</v>
      </c>
      <c r="D79" s="108">
        <v>2</v>
      </c>
      <c r="E79" s="2">
        <v>1</v>
      </c>
      <c r="F79" s="107" t="s">
        <v>180</v>
      </c>
      <c r="G79" s="5" t="s">
        <v>72</v>
      </c>
      <c r="H79" s="6">
        <v>4</v>
      </c>
      <c r="I79" s="6">
        <v>1.44</v>
      </c>
      <c r="J79" s="99">
        <f t="shared" si="0"/>
        <v>11.52</v>
      </c>
      <c r="K79" s="22" t="s">
        <v>202</v>
      </c>
      <c r="L79" s="12" t="s">
        <v>17</v>
      </c>
      <c r="M79" s="9">
        <v>13.24</v>
      </c>
      <c r="N79" s="1" t="s">
        <v>18</v>
      </c>
      <c r="O79" s="10">
        <f>IF(N79="","ERREUR",VLOOKUP(N79,'ANX 1 - Légende - appd 2'!T:U,2,FALSE))</f>
        <v>1</v>
      </c>
      <c r="P79" s="1" t="s">
        <v>18</v>
      </c>
      <c r="Q79" s="11">
        <f>IF(P79="","ERREUR",VLOOKUP(P79,'ANX 1 - Légende - appd 2'!W:X,2,FALSE))</f>
        <v>1</v>
      </c>
      <c r="R79" s="4" t="s">
        <v>252</v>
      </c>
      <c r="S79" s="121">
        <f>IF(R79="","",VLOOKUP(R79,'ANX 1 - Légende - appd 2'!D:E,2,FALSE))</f>
        <v>52</v>
      </c>
      <c r="T79" s="105" t="s">
        <v>192</v>
      </c>
      <c r="U79" s="101">
        <f t="shared" si="4"/>
        <v>688.48</v>
      </c>
      <c r="V79" s="101">
        <f t="shared" si="5"/>
        <v>688.48</v>
      </c>
      <c r="W79" s="102">
        <f>IF(A79="","",VLOOKUP(G79,'ANX 1 - Légende - appd 2'!$M$10:$N$33,2,FALSE))</f>
        <v>250</v>
      </c>
      <c r="X79" s="103">
        <f t="shared" si="6"/>
        <v>2.7539199999999999</v>
      </c>
    </row>
    <row r="80" spans="1:24" s="95" customFormat="1" ht="30" customHeight="1" x14ac:dyDescent="0.3">
      <c r="A80" s="13" t="s">
        <v>199</v>
      </c>
      <c r="B80" s="23">
        <v>1</v>
      </c>
      <c r="C80" s="24" t="s">
        <v>62</v>
      </c>
      <c r="D80" s="108">
        <v>2</v>
      </c>
      <c r="E80" s="7">
        <v>2</v>
      </c>
      <c r="F80" s="109" t="s">
        <v>185</v>
      </c>
      <c r="G80" s="5" t="s">
        <v>72</v>
      </c>
      <c r="H80" s="6">
        <v>1</v>
      </c>
      <c r="I80" s="6">
        <v>1.44</v>
      </c>
      <c r="J80" s="99">
        <f t="shared" si="0"/>
        <v>2.88</v>
      </c>
      <c r="K80" s="22" t="s">
        <v>200</v>
      </c>
      <c r="L80" s="12" t="s">
        <v>17</v>
      </c>
      <c r="M80" s="93">
        <v>82.52</v>
      </c>
      <c r="N80" s="1" t="s">
        <v>18</v>
      </c>
      <c r="O80" s="10">
        <f>IF(N80="","ERREUR",VLOOKUP(N80,'ANX 1 - Légende - appd 2'!T:U,2,FALSE))</f>
        <v>1</v>
      </c>
      <c r="P80" s="1" t="s">
        <v>18</v>
      </c>
      <c r="Q80" s="11">
        <f>IF(P80="","ERREUR",VLOOKUP(P80,'ANX 1 - Légende - appd 2'!W:X,2,FALSE))</f>
        <v>1</v>
      </c>
      <c r="R80" s="106" t="s">
        <v>249</v>
      </c>
      <c r="S80" s="121">
        <f>IF(R80="","",VLOOKUP(R80,'ANX 1 - Légende - appd 2'!D:E,2,FALSE))</f>
        <v>365</v>
      </c>
      <c r="T80" s="105" t="s">
        <v>197</v>
      </c>
      <c r="U80" s="101">
        <f t="shared" si="4"/>
        <v>30119.8</v>
      </c>
      <c r="V80" s="101">
        <f t="shared" ref="V80" si="7">IF(A80="","",U80*O80*Q80)</f>
        <v>30119.8</v>
      </c>
      <c r="W80" s="102">
        <f>IF(A80="","",VLOOKUP(G80,'ANX 1 - Légende - appd 2'!$M$10:$N$33,2,FALSE))</f>
        <v>250</v>
      </c>
      <c r="X80" s="103">
        <f t="shared" ref="X80" si="8">IF(A80="","",IF(LEFT(R80,3)="Sur",0,IF(LEFT(R80,3)="non",0,IF(W80=0,0,(V80/W80)))))</f>
        <v>120.47919999999999</v>
      </c>
    </row>
    <row r="81" spans="27:27" x14ac:dyDescent="0.3">
      <c r="AA81" s="489">
        <f>SUM(X18:X80)</f>
        <v>566.58181000000013</v>
      </c>
    </row>
  </sheetData>
  <autoFilter ref="A15:X80"/>
  <dataConsolidate/>
  <mergeCells count="16">
    <mergeCell ref="W13:W15"/>
    <mergeCell ref="X13:X15"/>
    <mergeCell ref="U13:V14"/>
    <mergeCell ref="A1:P1"/>
    <mergeCell ref="Q1:U3"/>
    <mergeCell ref="C2:F2"/>
    <mergeCell ref="A13:A15"/>
    <mergeCell ref="C13:C15"/>
    <mergeCell ref="D13:M14"/>
    <mergeCell ref="B13:B15"/>
    <mergeCell ref="N13:Q14"/>
    <mergeCell ref="H2:N3"/>
    <mergeCell ref="C3:F3"/>
    <mergeCell ref="T13:T15"/>
    <mergeCell ref="R13:R15"/>
    <mergeCell ref="S13:S15"/>
  </mergeCells>
  <conditionalFormatting sqref="A16:S80">
    <cfRule type="cellIs" dxfId="36" priority="2" operator="between">
      <formula>"?"</formula>
      <formula>"?"</formula>
    </cfRule>
  </conditionalFormatting>
  <conditionalFormatting sqref="S16:S80">
    <cfRule type="cellIs" dxfId="35" priority="1" operator="equal">
      <formula>0</formula>
    </cfRule>
  </conditionalFormatting>
  <dataValidations count="43">
    <dataValidation type="list" allowBlank="1" showInputMessage="1" showErrorMessage="1" error="Seules les natures de locaux figurant dans l'onglet légende sont valides. Choisir dans liste déroulante." prompt="Seules les natures de locaux figurant dans l'onglet légende sont valides. Choisir dans liste déroulante." sqref="G16:G80">
      <formula1>INDIRECT("Cadence_cible_selon_Nature_des_locaux[Nature des locaux]")</formula1>
    </dataValidation>
    <dataValidation type="list" allowBlank="1" showInputMessage="1" showErrorMessage="1" error="Seul le nommage des sites préalablement renseignés dans l'onglet légende est valide. Uniformiser strictement. Regrouper. Puis choisir dans liste déroulante." prompt="Seul le nommage des sites préalablement renseignés dans l'onglet légende est valide. Uniformiser strictement. Regrouper. Puis choisir dans liste déroulante." sqref="A16:A80">
      <formula1>INDIRECT("Site")</formula1>
    </dataValidation>
    <dataValidation type="list" allowBlank="1" showInputMessage="1" showErrorMessage="1" error="Seules les natures de sol figurant dans l'onglet légende sont valides. Choisir dans liste déroulante." prompt="Seules les natures de sol figurant dans l'onglet légende sont valides. Choisir dans liste déroulante." sqref="K16:K80">
      <formula1>INDIRECT("Nature_Sol")</formula1>
    </dataValidation>
    <dataValidation type="list" allowBlank="1" showInputMessage="1" showErrorMessage="1" error="Seul les traitements figurant dans l'onglet légende sont valides. Choir dans liste déroulante." prompt="Seul les traitements figurant dans l'onglet légende sont valides. Choir dans liste déroulante." sqref="L16:L80">
      <formula1>INDIRECT("Traitement_Sol")</formula1>
    </dataValidation>
    <dataValidation type="list" allowBlank="1" showInputMessage="1" showErrorMessage="1" error="Seules les appellations pour indiquer l'état d'encombrement dans l'onglet légende sont valides. Choisir dans liste déroulante." prompt="Seules les appellations pour indiquer l'état d'encombrement dans l'onglet légende sont valides. Choisir dans liste déroulante." sqref="N16:N80">
      <formula1>INDIRECT("Encombrement_Sol[Encombrement]")</formula1>
    </dataValidation>
    <dataValidation type="list" allowBlank="1" showInputMessage="1" showErrorMessage="1" error="Seules les appellations pour indiquer l'état de vétusté dans l'onglet légende sont valides. Choisir dans liste déroulante." prompt="Seules les appellations pour indiquer l'état de vétusté dans l'onglet légende sont valides. Choisir dans liste déroulante." sqref="P16:P80">
      <formula1>INDIRECT("Vétusté[Vétusté]")</formula1>
    </dataValidation>
    <dataValidation type="list" allowBlank="1" showInputMessage="1" showErrorMessage="1" error="Seules les fréquences préalablement renseignées dans l'onglet légende sont valides. Choisir dans liste déroulante. Tenir compte des périodes de fermeture." prompt="Seules les fréquences préalablement renseignées dans l'onglet légende sont valides. Choisir dans liste déroulante. Tenir compte des périodes de fermeture." sqref="R16:R80">
      <formula1>INDIRECT("Fréquence_de_passage[Abréviation]")</formula1>
    </dataValidation>
    <dataValidation type="list" allowBlank="1" showInputMessage="1" showErrorMessage="1" error="Veuillez choisir dans la liste déroulante le Bugdet." prompt="Veuillez choisir dans la liste déroulante le Bugdet." sqref="C16:C80">
      <formula1>INDIRECT("Budget")</formula1>
    </dataValidation>
    <dataValidation type="list" allowBlank="1" showInputMessage="1" showErrorMessage="1" error="Veuillez indiquer le n° de Poste._x000a_1 ou 2 ou 3._x000a_" prompt="Veuillez indiquer le n° de Poste._x000a_1 ou 2 ou 3." sqref="B16:B80">
      <formula1>INDIRECT("Poste[Poste]")</formula1>
    </dataValidation>
    <dataValidation type="textLength" allowBlank="1" showInputMessage="1" showErrorMessage="1" error="Ne pas modifier car formule !" prompt="Ne pas modifier car formule !" sqref="J16:J80 U16:X80">
      <formula1>10000000</formula1>
      <formula2>10000000</formula2>
    </dataValidation>
    <dataValidation type="textLength" allowBlank="1" showInputMessage="1" showErrorMessage="1" error="Remplir selon les consignes ci-dessous !" prompt="Remplir selon les consignes ci-dessous !" sqref="D13:M14">
      <formula1>1000</formula1>
      <formula2>1000</formula2>
    </dataValidation>
    <dataValidation type="textLength" allowBlank="1" showInputMessage="1" showErrorMessage="1" error="Colonne à masquer dans l'annexe 1 communiquée dans l'appel d'offres._x000a_Faire rectifier les erreurs + vérifier si les valeurs à zéro sont justifiées." prompt="Colonne à masquer dans l'annexe 1 communiquée dans l'appel d'offres._x000a_Faire rectifier les erreurs + vérifier si les valeurs à zéro sont justifiées." sqref="U13:X15">
      <formula1>1000000</formula1>
      <formula2>1000000</formula2>
    </dataValidation>
    <dataValidation allowBlank="1" showInputMessage="1" showErrorMessage="1" error="Remplir !" prompt="Remplir !" sqref="D16:D80 F16:F80"/>
    <dataValidation type="textLength" allowBlank="1" showInputMessage="1" showErrorMessage="1" error="LA MISE A JOUR EST À EFFECTUER DANS L'APPENDICE 2." prompt="LA MISE A JOUR EST À EFFECTUER DANS L'APPENDICE 2." sqref="A4 C4">
      <formula1>1000</formula1>
      <formula2>1000</formula2>
    </dataValidation>
    <dataValidation allowBlank="1" showInputMessage="1" showErrorMessage="1" error="CHARTE EXCEL DU DOCUMENT. ACTUALISER SANS MODIFIER." prompt="CHARTE EXCEL DU DOCUMENT. ACTUALISER SANS MODIFIER." sqref="Z4:XFD4"/>
    <dataValidation type="textLength" allowBlank="1" showInputMessage="1" showErrorMessage="1" error="CHARTE EXCEL DU DOCUMENT / NE PAS MODIFIER !" prompt="CHARTE EXCEL DU DOCUMENT / NE PAS MODIFIER !" sqref="A6:A11 D6:T12 Z9:XFD9 D4:Y4 A5:XFD5 B4 B6:B9 A12:C12 C6:C11 U6:XFD8">
      <formula1>1000</formula1>
      <formula2>1000</formula2>
    </dataValidation>
    <dataValidation type="textLength" allowBlank="1" showInputMessage="1" showErrorMessage="1" error="Veuillez choisir dans liste déroulante le n° Poste. 1 ou 2 ou 3." prompt="Veuillez choisir dans liste déroulante le n° de Poste. 1 ou 2 ou 3." sqref="B13:B15">
      <formula1>1000</formula1>
      <formula2>1000</formula2>
    </dataValidation>
    <dataValidation type="textLength" allowBlank="1" showInputMessage="1" showErrorMessage="1" error="Veuillez choisir dans la liste déroulante le Budget." prompt="Veuillez choisir dans la liste déroulante le Budget." sqref="C13:C15">
      <formula1>1000</formula1>
      <formula2>1000</formula2>
    </dataValidation>
    <dataValidation type="textLength" allowBlank="1" showInputMessage="1" showErrorMessage="1" error="Remplir ! -1 = sous-sol ; 0 = rez de chaussée ; 1 = 1er étage ; 2 = 2ième étage ; etc." prompt="Remplir ! -1 = sous-sol ; 0 = rez de chaussée ; 1 = 1er étage ; 2 = 2ième étage ; etc." sqref="E15">
      <formula1>1000</formula1>
      <formula2>1000</formula2>
    </dataValidation>
    <dataValidation type="textLength" allowBlank="1" showInputMessage="1" showErrorMessage="1" error="Remplir !" prompt="Remplir !" sqref="D15">
      <formula1>1000</formula1>
      <formula2>1000</formula2>
    </dataValidation>
    <dataValidation type="textLength" allowBlank="1" showInputMessage="1" showErrorMessage="1" error="Seules les natures de locaux figurant dans l'onglet légende sont valides. Choisir dans liste déroulante." prompt="Seules les natures de locaux figurant dans l'onglet légende sont valides. Choisir dans liste déroulante." sqref="G15">
      <formula1>1000</formula1>
      <formula2>1000</formula2>
    </dataValidation>
    <dataValidation type="textLength" allowBlank="1" showInputMessage="1" showErrorMessage="1" error="Remplir ! La superficie au sol ne peut en aucun cas être égale à zéro !" prompt="Remplir ! La superficie au sol ne peut en aucun cas être égale à zéro !" sqref="M15">
      <formula1>1000</formula1>
      <formula2>1000</formula2>
    </dataValidation>
    <dataValidation type="textLength" allowBlank="1" showInputMessage="1" showErrorMessage="1" error="Ne pas modifier car formule !" prompt="Ne pas modifier car formule !" sqref="J15 Q15 O15:O80">
      <formula1>1000</formula1>
      <formula2>1000</formula2>
    </dataValidation>
    <dataValidation type="textLength" allowBlank="1" showInputMessage="1" showErrorMessage="1" error="Remplir ou si pas de fenêtre indiquer zéro comme valeur !" prompt="Remplir ou si pas de fenêtre indiquer zéro comme valeur !" sqref="H15">
      <formula1>10000000</formula1>
      <formula2>10000000</formula2>
    </dataValidation>
    <dataValidation type="textLength" allowBlank="1" showInputMessage="1" showErrorMessage="1" error="Remplir ou si pas de fenêtre indiquer zéro comme valeur !" prompt="Remplir ou si pas de fenêtre indiquer zéro comme valeur !" sqref="I15">
      <formula1>1000</formula1>
      <formula2>1000</formula2>
    </dataValidation>
    <dataValidation type="textLength" allowBlank="1" showInputMessage="1" showErrorMessage="1" error="Seuls les traitements figurant dans l'onglet légende sont valides. Choisir dans liste déroulante." prompt="Seuls les traitements figurant dans l'onglet légende sont valides. Choisir dans liste déroulante." sqref="L15">
      <formula1>1000</formula1>
      <formula2>1000</formula2>
    </dataValidation>
    <dataValidation type="textLength" allowBlank="1" showInputMessage="1" showErrorMessage="1" error="Seules les natures de sol figurant dans l'onglet légende sont valides. Choisir dans liste déroulante." prompt="Seules les natures de sol figurant dans l'onglet légende sont valides. Choisir dans liste déroulante." sqref="K15">
      <formula1>1000</formula1>
      <formula2>1000</formula2>
    </dataValidation>
    <dataValidation type="textLength" allowBlank="1" showInputMessage="1" showErrorMessage="1" error="Sélectionner dans liste déroulante et le pourcentage s'incrémente automatiquement." prompt="Sélectionner dans liste déroulante et le pourcentage s'incrémente automatiquement." sqref="N13:Q14">
      <formula1>1000</formula1>
      <formula2>1000</formula2>
    </dataValidation>
    <dataValidation type="textLength" allowBlank="1" showInputMessage="1" showErrorMessage="1" error="Seules les fréquences préalablement renseignées dans l'onglet légende sont valides. Choisir dans liste déroulante. Tenir compte des périodes de fermetures." prompt="Seules les fréquences préalablement renseignées dans l'onglet légende sont valides. Choisir dans liste déroulante. Tenir compte des périodes de fermetures." sqref="R13:R15">
      <formula1>1000</formula1>
      <formula2>1000</formula2>
    </dataValidation>
    <dataValidation type="textLength" allowBlank="1" showInputMessage="1" showErrorMessage="1" error="Seules les appellations pour indiquer l'état de vétusté dans l'onglet légende sont valides. Choisir dans liste déroulante." prompt="Seules les appellations pour indiquer l'état de vétusté dans l'onglet légende sont valides. Choisir dans liste déroulante." sqref="P15">
      <formula1>1000</formula1>
      <formula2>1000</formula2>
    </dataValidation>
    <dataValidation type="textLength" allowBlank="1" showInputMessage="1" showErrorMessage="1" error="Seules les appellations pour indiquer l'état d'encombrement dans l'onglet légende sont valides. Choisir dans liste déroulante." prompt="Seules les appellations pour indiquer l'état d'encombrement dans l'onglet légende sont valides. Choisir dans liste déroulante." sqref="N15">
      <formula1>1000</formula1>
      <formula2>1000</formula2>
    </dataValidation>
    <dataValidation type="textLength" allowBlank="1" showInputMessage="1" showErrorMessage="1" error="Observations succinctes ! _x000a_" prompt="Observation succinctes ! _x000a_" sqref="T13:T15">
      <formula1>1000</formula1>
      <formula2>1000</formula2>
    </dataValidation>
    <dataValidation allowBlank="1" showInputMessage="1" showErrorMessage="1" prompt="Remplir ! La superficie au sol ne peut en aucun cas être égale à zéro !" sqref="M16:M80"/>
    <dataValidation type="textLength" allowBlank="1" showInputMessage="1" showErrorMessage="1" error="Lignes à masquer dans l'annexe 1 communiquée dans l'appel d'offres." prompt="Lignes à masquer dans l'annexe 1 communiquée dans l'appel d'offres." sqref="A2:P3 V1:XFD3">
      <formula1>1000</formula1>
      <formula2>1000</formula2>
    </dataValidation>
    <dataValidation type="textLength" allowBlank="1" showInputMessage="1" showErrorMessage="1" error="Ne pas modifier car formule ! Elle calcule le nombre de passage par an d'après la fréquence indiquée ici à gauche. Donc vérifier la cohérence/réalité !" prompt="Ne pas modifier car formule ! Elle calcule le nombre de passage par an d'après la fréquence indiquée ici à gauche. Donc vérifier la cohérence/réalité !" sqref="S13:S80">
      <formula1>1000</formula1>
      <formula2>1000</formula2>
    </dataValidation>
    <dataValidation type="textLength" allowBlank="1" showInputMessage="1" showErrorMessage="1" error="Lignes à masquer dans l'annexe 1 communiquée dans l'appel d'offres." prompt="Lignes à masquer dans l'annexe 1 communiquée dans l'appel d'offres." sqref="A1:P1">
      <formula1>1000</formula1>
      <formula2>1000</formula2>
    </dataValidation>
    <dataValidation type="textLength" allowBlank="1" showInputMessage="1" showErrorMessage="1" error="Seul le nommage des sites préalablement renseignés dans l'onglet légende est valide. Uniformiser strictement. Regrouper. Puis choisir dans liste déroulante." prompt="Seul le nommage des sites préalablement renseignés dans l'onglet légende est valide. Uniformiser strictement. Regrouper. Puis choisir dans liste déroulante." sqref="A13:A15">
      <formula1>1000</formula1>
      <formula2>1000</formula2>
    </dataValidation>
    <dataValidation type="textLength" allowBlank="1" showInputMessage="1" showErrorMessage="1" error="Remplir ou si pas de donnée indiquer une barre oblique = / ." prompt="Remplir ou si pas de donnée indiquer une barre oblique = / ." sqref="F15">
      <formula1>1000</formula1>
      <formula2>1000</formula2>
    </dataValidation>
    <dataValidation allowBlank="1" showInputMessage="1" showErrorMessage="1" prompt="Remplir ou si pas de fenêtre indiquer zéro comme valeur !" sqref="H16:I80"/>
    <dataValidation allowBlank="1" showInputMessage="1" showErrorMessage="1" error="Remplir !" prompt="Remplir ! -1 = sous-sol ; 0 = rez de chaussée ; 1 = 1er étage ; 2 = 2ième étage ; etc." sqref="E16:E80"/>
    <dataValidation type="textLength" allowBlank="1" showInputMessage="1" showErrorMessage="1" error="Colonnes à masquer dans l'annexe 1 communiquée dans l'appel d'offres. Faire rectifier les erreurs + vérifier sur les valeurs à zéro sont justifiées. Zéro si fréquence &quot;DO&quot;, &quot;DH&quot;, &quot;DO+DH&quot; ou si locaux de &quot;PL&quot;." prompt="Colonnes à masquer dans l'annexe 1 communiquée dans l'appel d'offres. Faire rectifier les erreurs + vérifier sur les valeurs à zéro sont justifiées. Zéro si fréquence &quot;DO&quot;, &quot;DH&quot;, &quot;DO+DH&quot; ou si locaux de &quot;PL&quot;." sqref="U9:X12">
      <formula1>1000</formula1>
      <formula2>1000</formula2>
    </dataValidation>
    <dataValidation type="textLength" allowBlank="1" showInputMessage="1" showErrorMessage="1" error="Lignes à masquer dans l'annexe 1 communiquée dans l'appel d'offres." prompt="Lignes à masquer dans l'annexe 1 communiquée dans l'appel d'offres." sqref="Q1:U3">
      <formula1>1000</formula1>
      <formula2>1000</formula2>
    </dataValidation>
    <dataValidation type="textLength" allowBlank="1" showInputMessage="1" showErrorMessage="1" error="Ne pas modifier car formule !" prompt="Ne pas modifier car formule !" sqref="Q16:Q80">
      <formula1>1000</formula1>
      <formula2>1000</formula2>
    </dataValidation>
  </dataValidations>
  <pageMargins left="0.70866141732283472" right="0.70866141732283472" top="0.74803149606299213" bottom="0.74803149606299213" header="0.31496062992125984" footer="0.31496062992125984"/>
  <pageSetup paperSize="8" scale="10" fitToHeight="2"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AD85"/>
  <sheetViews>
    <sheetView zoomScale="50" zoomScaleNormal="50" workbookViewId="0">
      <pane xSplit="5" ySplit="13" topLeftCell="F14" activePane="bottomRight" state="frozen"/>
      <selection pane="topRight" activeCell="F1" sqref="F1"/>
      <selection pane="bottomLeft" activeCell="A14" sqref="A14"/>
      <selection pane="bottomRight" activeCell="C55" sqref="C55"/>
    </sheetView>
  </sheetViews>
  <sheetFormatPr baseColWidth="10" defaultColWidth="11.453125" defaultRowHeight="12.5" x14ac:dyDescent="0.25"/>
  <cols>
    <col min="1" max="1" width="6.81640625" style="110" customWidth="1"/>
    <col min="2" max="2" width="100.7265625" style="110" customWidth="1"/>
    <col min="3" max="3" width="34.453125" style="110" customWidth="1"/>
    <col min="4" max="4" width="21.453125" style="110" customWidth="1"/>
    <col min="5" max="5" width="24.6328125" style="110" customWidth="1"/>
    <col min="6" max="6" width="8.6328125" style="110" customWidth="1"/>
    <col min="7" max="9" width="15.54296875" style="110" customWidth="1"/>
    <col min="10" max="10" width="9.7265625" style="110" customWidth="1"/>
    <col min="11" max="13" width="15.54296875" style="110" customWidth="1"/>
    <col min="14" max="14" width="9.54296875" style="110" customWidth="1"/>
    <col min="15" max="17" width="15.54296875" style="110" customWidth="1"/>
    <col min="18" max="18" width="9.54296875" style="110" customWidth="1"/>
    <col min="19" max="21" width="15.54296875" style="110" customWidth="1"/>
    <col min="22" max="22" width="10.26953125" style="110" customWidth="1"/>
    <col min="23" max="25" width="15.54296875" style="110" customWidth="1"/>
    <col min="26" max="26" width="11.453125" style="110"/>
    <col min="27" max="29" width="15.54296875" style="110" customWidth="1"/>
    <col min="30" max="16384" width="11.453125" style="110"/>
  </cols>
  <sheetData>
    <row r="1" spans="1:30" ht="62" customHeight="1" x14ac:dyDescent="0.25">
      <c r="B1" s="502" t="s">
        <v>428</v>
      </c>
      <c r="C1" s="502"/>
      <c r="D1" s="502"/>
      <c r="E1" s="502"/>
      <c r="F1" s="137" t="s">
        <v>429</v>
      </c>
      <c r="G1" s="138"/>
      <c r="H1" s="138"/>
      <c r="I1" s="138"/>
      <c r="J1" s="138"/>
      <c r="K1" s="138"/>
      <c r="L1" s="138"/>
      <c r="M1" s="138"/>
      <c r="N1" s="138"/>
      <c r="O1" s="138"/>
      <c r="P1" s="138"/>
      <c r="Q1" s="138"/>
      <c r="R1" s="138"/>
      <c r="S1" s="138"/>
      <c r="T1" s="138"/>
      <c r="U1" s="138"/>
    </row>
    <row r="2" spans="1:30" ht="33" customHeight="1" x14ac:dyDescent="0.7">
      <c r="B2" s="139" t="s">
        <v>283</v>
      </c>
      <c r="I2" s="80" t="s">
        <v>284</v>
      </c>
      <c r="M2" s="80" t="s">
        <v>285</v>
      </c>
      <c r="Q2" s="80" t="s">
        <v>286</v>
      </c>
      <c r="U2" s="80" t="s">
        <v>287</v>
      </c>
      <c r="Y2" s="80" t="s">
        <v>288</v>
      </c>
      <c r="AC2" s="80" t="s">
        <v>289</v>
      </c>
    </row>
    <row r="3" spans="1:30" ht="33" customHeight="1" thickBot="1" x14ac:dyDescent="0.3">
      <c r="B3" s="140" t="s">
        <v>290</v>
      </c>
    </row>
    <row r="4" spans="1:30" ht="33" customHeight="1" thickBot="1" x14ac:dyDescent="0.3">
      <c r="B4" s="141"/>
      <c r="C4" s="142"/>
      <c r="D4" s="143"/>
      <c r="E4" s="144"/>
      <c r="F4" s="125"/>
      <c r="G4" s="125"/>
      <c r="H4" s="536" t="s">
        <v>430</v>
      </c>
      <c r="I4" s="537"/>
      <c r="J4" s="125"/>
      <c r="K4" s="125"/>
      <c r="L4" s="536" t="s">
        <v>431</v>
      </c>
      <c r="M4" s="537"/>
      <c r="N4" s="125"/>
      <c r="O4" s="125"/>
      <c r="P4" s="536" t="s">
        <v>432</v>
      </c>
      <c r="Q4" s="537"/>
      <c r="R4" s="125"/>
      <c r="S4" s="125"/>
      <c r="T4" s="536" t="s">
        <v>433</v>
      </c>
      <c r="U4" s="537"/>
      <c r="V4" s="125"/>
      <c r="W4" s="125"/>
      <c r="X4" s="536" t="s">
        <v>98</v>
      </c>
      <c r="Y4" s="537"/>
      <c r="AB4" s="536" t="s">
        <v>434</v>
      </c>
      <c r="AC4" s="537"/>
    </row>
    <row r="5" spans="1:30" ht="33" customHeight="1" thickBot="1" x14ac:dyDescent="0.3">
      <c r="C5" s="125"/>
      <c r="D5" s="143"/>
      <c r="E5" s="144"/>
      <c r="F5" s="125"/>
      <c r="G5" s="125"/>
      <c r="H5" s="18" t="s">
        <v>99</v>
      </c>
      <c r="I5" s="19" t="s">
        <v>100</v>
      </c>
      <c r="J5" s="125"/>
      <c r="K5" s="125"/>
      <c r="L5" s="18" t="s">
        <v>99</v>
      </c>
      <c r="M5" s="19" t="s">
        <v>100</v>
      </c>
      <c r="N5" s="125"/>
      <c r="O5" s="125"/>
      <c r="P5" s="18" t="s">
        <v>99</v>
      </c>
      <c r="Q5" s="19" t="s">
        <v>100</v>
      </c>
      <c r="R5" s="125"/>
      <c r="S5" s="125"/>
      <c r="T5" s="18" t="s">
        <v>99</v>
      </c>
      <c r="U5" s="19" t="s">
        <v>100</v>
      </c>
      <c r="V5" s="125"/>
      <c r="W5" s="125"/>
      <c r="X5" s="18" t="s">
        <v>99</v>
      </c>
      <c r="Y5" s="19" t="s">
        <v>100</v>
      </c>
      <c r="AB5" s="18" t="s">
        <v>99</v>
      </c>
      <c r="AC5" s="19" t="s">
        <v>100</v>
      </c>
    </row>
    <row r="6" spans="1:30" ht="48" customHeight="1" thickBot="1" x14ac:dyDescent="0.4">
      <c r="B6" s="340" t="s">
        <v>435</v>
      </c>
      <c r="C6" s="542" t="s">
        <v>407</v>
      </c>
      <c r="D6" s="542"/>
      <c r="E6" s="542"/>
      <c r="F6" s="323"/>
      <c r="G6" s="145" t="str">
        <f>IF(SUM(H:H)/2=H6,"","Erreur")</f>
        <v/>
      </c>
      <c r="H6" s="20">
        <f>ROUND(SUM(H14:H68),2)</f>
        <v>0</v>
      </c>
      <c r="I6" s="21">
        <f>ROUND(SUM(I14:I68),2)</f>
        <v>0</v>
      </c>
      <c r="J6" s="145" t="str">
        <f>IF(SUM(I:I)/2=I6,"","Erreur")</f>
        <v/>
      </c>
      <c r="K6" s="145" t="str">
        <f>IF(SUM(L:L)/2=L6,"","Erreur")</f>
        <v/>
      </c>
      <c r="L6" s="20">
        <f>ROUND(SUM(L14:L68),2)</f>
        <v>0</v>
      </c>
      <c r="M6" s="21">
        <f>ROUND(SUM(M14:M68),2)</f>
        <v>0</v>
      </c>
      <c r="N6" s="145" t="str">
        <f>IF(SUM(M:M)/2=M6,"","Erreur")</f>
        <v/>
      </c>
      <c r="O6" s="145" t="str">
        <f>IF(SUM(P:P)/2=P6,"","Erreur")</f>
        <v/>
      </c>
      <c r="P6" s="20">
        <f>ROUND(SUM(P14:P68),2)</f>
        <v>0</v>
      </c>
      <c r="Q6" s="21">
        <f>ROUND(SUM(Q14:Q68),2)</f>
        <v>0</v>
      </c>
      <c r="R6" s="145" t="str">
        <f>IF(SUM(Q:Q)/2=Q6,"","Erreur")</f>
        <v/>
      </c>
      <c r="S6" s="145" t="str">
        <f>IF(SUM(T:T)/2=T6,"","Erreur")</f>
        <v/>
      </c>
      <c r="T6" s="20">
        <f>ROUND(SUM(T14:T68),2)</f>
        <v>0</v>
      </c>
      <c r="U6" s="21">
        <f>ROUND(SUM(U14:U68),2)</f>
        <v>0</v>
      </c>
      <c r="V6" s="145" t="str">
        <f>IF(SUM(U:U)/2=U6,"","Erreur")</f>
        <v/>
      </c>
      <c r="W6" s="145" t="str">
        <f>IF(SUM(X:X)/2=X6,"","Erreur")</f>
        <v/>
      </c>
      <c r="X6" s="20">
        <f>ROUND(SUM(X14:X68),2)</f>
        <v>0</v>
      </c>
      <c r="Y6" s="21">
        <f>ROUND(SUM(Y14:Y68),2)</f>
        <v>0</v>
      </c>
      <c r="Z6" s="145" t="str">
        <f>IF(SUM(Y:Y)/2=Y6,"","Erreur")</f>
        <v/>
      </c>
      <c r="AA6" s="145" t="str">
        <f>IF(SUM(AB:AB)/2=AB6,"","Erreur")</f>
        <v/>
      </c>
      <c r="AB6" s="20">
        <f>ROUND(SUM(AB14:AB68),2)</f>
        <v>0</v>
      </c>
      <c r="AC6" s="21">
        <f>ROUND(SUM(AC14:AC68),2)</f>
        <v>0</v>
      </c>
      <c r="AD6" s="145" t="str">
        <f>IF(SUM(AC:AC)/2=AC6,"","Erreur")</f>
        <v/>
      </c>
    </row>
    <row r="7" spans="1:30" ht="33" customHeight="1" x14ac:dyDescent="0.25">
      <c r="B7" s="324" t="s">
        <v>408</v>
      </c>
      <c r="C7" s="324" t="s">
        <v>408</v>
      </c>
      <c r="D7" s="146"/>
      <c r="E7" s="146"/>
      <c r="F7" s="125"/>
      <c r="G7" s="125"/>
      <c r="H7" s="126"/>
      <c r="I7" s="126"/>
      <c r="J7" s="126"/>
      <c r="K7" s="126"/>
      <c r="L7" s="126"/>
      <c r="M7" s="126"/>
      <c r="N7" s="126"/>
      <c r="O7" s="126"/>
      <c r="P7" s="126"/>
      <c r="Q7" s="126"/>
      <c r="R7" s="126"/>
      <c r="S7" s="126"/>
      <c r="T7" s="126"/>
      <c r="U7" s="126"/>
      <c r="V7" s="126"/>
      <c r="W7" s="126"/>
      <c r="X7" s="126"/>
      <c r="Y7" s="126"/>
    </row>
    <row r="8" spans="1:30" ht="33" customHeight="1" x14ac:dyDescent="0.4">
      <c r="B8" s="341" t="str">
        <f>'ANX 1 - Légende - appd 2'!A4</f>
        <v>DAF_2025_000478</v>
      </c>
      <c r="C8" s="327" t="str">
        <f>'ANX 1 - Légende - appd 2'!C4:E4</f>
        <v>LOT UNIQUE :  HÔTEL de BROGLIE - STRASBOURG</v>
      </c>
      <c r="D8" s="148"/>
      <c r="E8" s="148"/>
      <c r="F8" s="149"/>
    </row>
    <row r="9" spans="1:30" ht="33" customHeight="1" x14ac:dyDescent="0.4">
      <c r="C9" s="150"/>
      <c r="D9" s="150"/>
      <c r="E9" s="150"/>
    </row>
    <row r="10" spans="1:30" ht="33" customHeight="1" thickBot="1" x14ac:dyDescent="0.3">
      <c r="B10" s="151"/>
      <c r="G10" s="538" t="s">
        <v>436</v>
      </c>
      <c r="H10" s="538"/>
      <c r="I10" s="538"/>
      <c r="J10" s="538"/>
      <c r="K10" s="538"/>
      <c r="L10" s="538"/>
      <c r="M10" s="538"/>
      <c r="N10" s="538"/>
      <c r="O10" s="538"/>
      <c r="P10" s="538"/>
      <c r="Q10" s="538"/>
      <c r="R10" s="152"/>
      <c r="S10" s="538" t="s">
        <v>436</v>
      </c>
      <c r="T10" s="538"/>
      <c r="U10" s="538"/>
      <c r="V10" s="538"/>
      <c r="W10" s="538"/>
      <c r="X10" s="538"/>
      <c r="Y10" s="538"/>
      <c r="Z10" s="538"/>
      <c r="AA10" s="538"/>
      <c r="AB10" s="538"/>
      <c r="AC10" s="538"/>
    </row>
    <row r="11" spans="1:30" ht="33" customHeight="1" thickBot="1" x14ac:dyDescent="0.3">
      <c r="B11" s="16"/>
      <c r="D11" s="14" t="s">
        <v>43</v>
      </c>
      <c r="E11" s="15">
        <v>0.2</v>
      </c>
      <c r="G11" s="539" t="s">
        <v>291</v>
      </c>
      <c r="H11" s="540"/>
      <c r="I11" s="540"/>
      <c r="J11" s="540"/>
      <c r="K11" s="540"/>
      <c r="L11" s="540"/>
      <c r="M11" s="540"/>
      <c r="N11" s="540"/>
      <c r="O11" s="540"/>
      <c r="P11" s="540"/>
      <c r="Q11" s="541"/>
      <c r="R11" s="153"/>
      <c r="S11" s="539" t="s">
        <v>292</v>
      </c>
      <c r="T11" s="540"/>
      <c r="U11" s="540"/>
      <c r="V11" s="540"/>
      <c r="W11" s="540"/>
      <c r="X11" s="540"/>
      <c r="Y11" s="540"/>
      <c r="Z11" s="540"/>
      <c r="AA11" s="540"/>
      <c r="AB11" s="540"/>
      <c r="AC11" s="541"/>
    </row>
    <row r="12" spans="1:30" s="154" customFormat="1" ht="63.75" customHeight="1" thickBot="1" x14ac:dyDescent="0.4">
      <c r="B12" s="16"/>
      <c r="C12" s="110"/>
      <c r="D12" s="17" t="s">
        <v>91</v>
      </c>
      <c r="E12" s="17" t="s">
        <v>92</v>
      </c>
      <c r="G12" s="533" t="s">
        <v>437</v>
      </c>
      <c r="H12" s="534"/>
      <c r="I12" s="535"/>
      <c r="J12" s="155"/>
      <c r="K12" s="533" t="s">
        <v>438</v>
      </c>
      <c r="L12" s="534"/>
      <c r="M12" s="535"/>
      <c r="N12" s="156"/>
      <c r="O12" s="533" t="s">
        <v>439</v>
      </c>
      <c r="P12" s="534"/>
      <c r="Q12" s="535"/>
      <c r="R12" s="156"/>
      <c r="S12" s="533" t="s">
        <v>437</v>
      </c>
      <c r="T12" s="534"/>
      <c r="U12" s="535"/>
      <c r="V12" s="155"/>
      <c r="W12" s="533" t="s">
        <v>438</v>
      </c>
      <c r="X12" s="534"/>
      <c r="Y12" s="535"/>
      <c r="Z12" s="157"/>
      <c r="AA12" s="533" t="s">
        <v>439</v>
      </c>
      <c r="AB12" s="534"/>
      <c r="AC12" s="535"/>
    </row>
    <row r="13" spans="1:30" s="154" customFormat="1" ht="52.5" thickBot="1" x14ac:dyDescent="0.4">
      <c r="B13" s="386" t="s">
        <v>479</v>
      </c>
      <c r="C13" s="159" t="s">
        <v>93</v>
      </c>
      <c r="D13" s="342" t="s">
        <v>94</v>
      </c>
      <c r="E13" s="160" t="s">
        <v>95</v>
      </c>
      <c r="G13" s="161" t="s">
        <v>294</v>
      </c>
      <c r="H13" s="161" t="s">
        <v>96</v>
      </c>
      <c r="I13" s="161" t="s">
        <v>97</v>
      </c>
      <c r="J13" s="155"/>
      <c r="K13" s="161" t="s">
        <v>294</v>
      </c>
      <c r="L13" s="161" t="s">
        <v>96</v>
      </c>
      <c r="M13" s="161" t="s">
        <v>97</v>
      </c>
      <c r="N13" s="156"/>
      <c r="O13" s="161" t="s">
        <v>294</v>
      </c>
      <c r="P13" s="161" t="s">
        <v>96</v>
      </c>
      <c r="Q13" s="161" t="s">
        <v>97</v>
      </c>
      <c r="R13" s="156"/>
      <c r="S13" s="161" t="s">
        <v>294</v>
      </c>
      <c r="T13" s="161" t="s">
        <v>96</v>
      </c>
      <c r="U13" s="161" t="s">
        <v>97</v>
      </c>
      <c r="V13" s="112"/>
      <c r="W13" s="161" t="s">
        <v>294</v>
      </c>
      <c r="X13" s="161" t="s">
        <v>96</v>
      </c>
      <c r="Y13" s="161" t="s">
        <v>97</v>
      </c>
      <c r="Z13" s="157"/>
      <c r="AA13" s="161" t="s">
        <v>294</v>
      </c>
      <c r="AB13" s="161" t="s">
        <v>96</v>
      </c>
      <c r="AC13" s="161" t="s">
        <v>97</v>
      </c>
    </row>
    <row r="14" spans="1:30" ht="33" customHeight="1" thickBot="1" x14ac:dyDescent="0.3">
      <c r="A14" s="111">
        <v>1</v>
      </c>
      <c r="B14" s="343" t="s">
        <v>295</v>
      </c>
      <c r="C14" s="344" t="s">
        <v>296</v>
      </c>
      <c r="D14" s="345">
        <v>3.07</v>
      </c>
      <c r="E14" s="162">
        <f>ROUND(D14*(1+$E$11),2)</f>
        <v>3.68</v>
      </c>
      <c r="G14" s="113">
        <v>0</v>
      </c>
      <c r="H14" s="114">
        <f>ROUND(G14*D14,2)</f>
        <v>0</v>
      </c>
      <c r="I14" s="115">
        <f>ROUND(G14*((D14*(1+$E$11))),2)</f>
        <v>0</v>
      </c>
      <c r="J14" s="116"/>
      <c r="K14" s="113">
        <v>0</v>
      </c>
      <c r="L14" s="114">
        <f>ROUND(K14*D14,2)</f>
        <v>0</v>
      </c>
      <c r="M14" s="115">
        <f>ROUND(K14*((D14*(1+$E$11))),2)</f>
        <v>0</v>
      </c>
      <c r="O14" s="113">
        <v>0</v>
      </c>
      <c r="P14" s="114">
        <f>ROUND(O14*D14,2)</f>
        <v>0</v>
      </c>
      <c r="Q14" s="115">
        <f>ROUND(O14*((D14*(1+$E$11))),2)</f>
        <v>0</v>
      </c>
      <c r="S14" s="113">
        <v>0</v>
      </c>
      <c r="T14" s="114">
        <f>ROUND(S14*D14,2)</f>
        <v>0</v>
      </c>
      <c r="U14" s="115">
        <f>ROUND(S14*((D14*(1+$E$11))),2)</f>
        <v>0</v>
      </c>
      <c r="V14" s="116"/>
      <c r="W14" s="113">
        <v>0</v>
      </c>
      <c r="X14" s="114">
        <f>ROUND(W14*D14,2)</f>
        <v>0</v>
      </c>
      <c r="Y14" s="115">
        <f>ROUND(W14*((D14*(1+$E$11))),2)</f>
        <v>0</v>
      </c>
      <c r="AA14" s="113">
        <v>0</v>
      </c>
      <c r="AB14" s="114">
        <f>ROUND(AA14*D14,2)</f>
        <v>0</v>
      </c>
      <c r="AC14" s="115">
        <f>ROUND(AA14*((D14*(1+$E$11))),2)</f>
        <v>0</v>
      </c>
    </row>
    <row r="15" spans="1:30" ht="33" customHeight="1" thickBot="1" x14ac:dyDescent="0.3">
      <c r="A15" s="111">
        <f>A14+1</f>
        <v>2</v>
      </c>
      <c r="B15" s="343" t="s">
        <v>297</v>
      </c>
      <c r="C15" s="346" t="s">
        <v>298</v>
      </c>
      <c r="D15" s="345">
        <v>0.06</v>
      </c>
      <c r="E15" s="162">
        <f t="shared" ref="E15:E68" si="0">ROUND(D15*(1+$E$11),2)</f>
        <v>7.0000000000000007E-2</v>
      </c>
      <c r="G15" s="113">
        <v>0</v>
      </c>
      <c r="H15" s="114">
        <f t="shared" ref="H15:H68" si="1">ROUND(G15*D15,2)</f>
        <v>0</v>
      </c>
      <c r="I15" s="115">
        <f t="shared" ref="I15:I68" si="2">ROUND(G15*((D15*(1+$E$11))),2)</f>
        <v>0</v>
      </c>
      <c r="J15" s="116"/>
      <c r="K15" s="113">
        <v>0</v>
      </c>
      <c r="L15" s="114">
        <f t="shared" ref="L15:L68" si="3">ROUND(K15*D15,2)</f>
        <v>0</v>
      </c>
      <c r="M15" s="115">
        <f t="shared" ref="M15:M68" si="4">ROUND(K15*((D15*(1+$E$11))),2)</f>
        <v>0</v>
      </c>
      <c r="O15" s="113">
        <v>0</v>
      </c>
      <c r="P15" s="114">
        <f t="shared" ref="P15:P68" si="5">ROUND(O15*D15,2)</f>
        <v>0</v>
      </c>
      <c r="Q15" s="115">
        <f t="shared" ref="Q15:Q68" si="6">ROUND(O15*((D15*(1+$E$11))),2)</f>
        <v>0</v>
      </c>
      <c r="S15" s="113">
        <v>0</v>
      </c>
      <c r="T15" s="114">
        <f t="shared" ref="T15:T68" si="7">ROUND(S15*D15,2)</f>
        <v>0</v>
      </c>
      <c r="U15" s="115">
        <f t="shared" ref="U15:U68" si="8">ROUND(S15*((D15*(1+$E$11))),2)</f>
        <v>0</v>
      </c>
      <c r="V15" s="116"/>
      <c r="W15" s="113">
        <v>0</v>
      </c>
      <c r="X15" s="114">
        <f t="shared" ref="X15:X68" si="9">ROUND(W15*D15,2)</f>
        <v>0</v>
      </c>
      <c r="Y15" s="115">
        <f t="shared" ref="Y15:Y68" si="10">ROUND(W15*((D15*(1+$E$11))),2)</f>
        <v>0</v>
      </c>
      <c r="AA15" s="113">
        <v>0</v>
      </c>
      <c r="AB15" s="114">
        <f t="shared" ref="AB15:AB68" si="11">ROUND(AA15*D15,2)</f>
        <v>0</v>
      </c>
      <c r="AC15" s="115">
        <f t="shared" ref="AC15:AC68" si="12">ROUND(AA15*((D15*(1+$E$11))),2)</f>
        <v>0</v>
      </c>
    </row>
    <row r="16" spans="1:30" ht="33" customHeight="1" thickBot="1" x14ac:dyDescent="0.3">
      <c r="A16" s="111">
        <f t="shared" ref="A16:A66" si="13">A15+1</f>
        <v>3</v>
      </c>
      <c r="B16" s="343" t="s">
        <v>299</v>
      </c>
      <c r="C16" s="346" t="s">
        <v>298</v>
      </c>
      <c r="D16" s="345">
        <v>0.06</v>
      </c>
      <c r="E16" s="162">
        <f t="shared" si="0"/>
        <v>7.0000000000000007E-2</v>
      </c>
      <c r="G16" s="113">
        <v>0</v>
      </c>
      <c r="H16" s="114">
        <f t="shared" si="1"/>
        <v>0</v>
      </c>
      <c r="I16" s="115">
        <f t="shared" si="2"/>
        <v>0</v>
      </c>
      <c r="J16" s="116"/>
      <c r="K16" s="113">
        <v>0</v>
      </c>
      <c r="L16" s="114">
        <f t="shared" si="3"/>
        <v>0</v>
      </c>
      <c r="M16" s="115">
        <f t="shared" si="4"/>
        <v>0</v>
      </c>
      <c r="O16" s="113">
        <v>0</v>
      </c>
      <c r="P16" s="114">
        <f t="shared" si="5"/>
        <v>0</v>
      </c>
      <c r="Q16" s="115">
        <f t="shared" si="6"/>
        <v>0</v>
      </c>
      <c r="S16" s="113">
        <v>0</v>
      </c>
      <c r="T16" s="114">
        <f t="shared" si="7"/>
        <v>0</v>
      </c>
      <c r="U16" s="115">
        <f t="shared" si="8"/>
        <v>0</v>
      </c>
      <c r="V16" s="116"/>
      <c r="W16" s="113">
        <v>0</v>
      </c>
      <c r="X16" s="114">
        <f t="shared" si="9"/>
        <v>0</v>
      </c>
      <c r="Y16" s="115">
        <f t="shared" si="10"/>
        <v>0</v>
      </c>
      <c r="AA16" s="113">
        <v>0</v>
      </c>
      <c r="AB16" s="114">
        <f t="shared" si="11"/>
        <v>0</v>
      </c>
      <c r="AC16" s="115">
        <f t="shared" si="12"/>
        <v>0</v>
      </c>
    </row>
    <row r="17" spans="1:29" ht="33" customHeight="1" thickBot="1" x14ac:dyDescent="0.3">
      <c r="A17" s="111">
        <f t="shared" si="13"/>
        <v>4</v>
      </c>
      <c r="B17" s="343" t="s">
        <v>300</v>
      </c>
      <c r="C17" s="346" t="s">
        <v>298</v>
      </c>
      <c r="D17" s="345">
        <v>0.25</v>
      </c>
      <c r="E17" s="162">
        <f t="shared" si="0"/>
        <v>0.3</v>
      </c>
      <c r="G17" s="113">
        <v>0</v>
      </c>
      <c r="H17" s="114">
        <f t="shared" si="1"/>
        <v>0</v>
      </c>
      <c r="I17" s="115">
        <f t="shared" si="2"/>
        <v>0</v>
      </c>
      <c r="J17" s="116"/>
      <c r="K17" s="113">
        <v>0</v>
      </c>
      <c r="L17" s="114">
        <f t="shared" si="3"/>
        <v>0</v>
      </c>
      <c r="M17" s="115">
        <f t="shared" si="4"/>
        <v>0</v>
      </c>
      <c r="O17" s="113">
        <v>0</v>
      </c>
      <c r="P17" s="114">
        <f t="shared" si="5"/>
        <v>0</v>
      </c>
      <c r="Q17" s="115">
        <f t="shared" si="6"/>
        <v>0</v>
      </c>
      <c r="S17" s="113">
        <v>0</v>
      </c>
      <c r="T17" s="114">
        <f t="shared" si="7"/>
        <v>0</v>
      </c>
      <c r="U17" s="115">
        <f t="shared" si="8"/>
        <v>0</v>
      </c>
      <c r="V17" s="116"/>
      <c r="W17" s="113">
        <v>0</v>
      </c>
      <c r="X17" s="114">
        <f t="shared" si="9"/>
        <v>0</v>
      </c>
      <c r="Y17" s="115">
        <f t="shared" si="10"/>
        <v>0</v>
      </c>
      <c r="AA17" s="113">
        <v>0</v>
      </c>
      <c r="AB17" s="114">
        <f t="shared" si="11"/>
        <v>0</v>
      </c>
      <c r="AC17" s="115">
        <f t="shared" si="12"/>
        <v>0</v>
      </c>
    </row>
    <row r="18" spans="1:29" ht="33" customHeight="1" thickBot="1" x14ac:dyDescent="0.3">
      <c r="A18" s="111">
        <f t="shared" si="13"/>
        <v>5</v>
      </c>
      <c r="B18" s="343" t="s">
        <v>301</v>
      </c>
      <c r="C18" s="346" t="s">
        <v>298</v>
      </c>
      <c r="D18" s="345">
        <v>1.76</v>
      </c>
      <c r="E18" s="162">
        <f t="shared" si="0"/>
        <v>2.11</v>
      </c>
      <c r="G18" s="113">
        <v>0</v>
      </c>
      <c r="H18" s="114">
        <f t="shared" si="1"/>
        <v>0</v>
      </c>
      <c r="I18" s="115">
        <f t="shared" si="2"/>
        <v>0</v>
      </c>
      <c r="J18" s="116"/>
      <c r="K18" s="113">
        <v>0</v>
      </c>
      <c r="L18" s="114">
        <f t="shared" si="3"/>
        <v>0</v>
      </c>
      <c r="M18" s="115">
        <f t="shared" si="4"/>
        <v>0</v>
      </c>
      <c r="O18" s="113">
        <v>0</v>
      </c>
      <c r="P18" s="114">
        <f t="shared" si="5"/>
        <v>0</v>
      </c>
      <c r="Q18" s="115">
        <f t="shared" si="6"/>
        <v>0</v>
      </c>
      <c r="S18" s="113">
        <v>0</v>
      </c>
      <c r="T18" s="114">
        <f t="shared" si="7"/>
        <v>0</v>
      </c>
      <c r="U18" s="115">
        <f t="shared" si="8"/>
        <v>0</v>
      </c>
      <c r="V18" s="116"/>
      <c r="W18" s="113">
        <v>0</v>
      </c>
      <c r="X18" s="114">
        <f t="shared" si="9"/>
        <v>0</v>
      </c>
      <c r="Y18" s="115">
        <f t="shared" si="10"/>
        <v>0</v>
      </c>
      <c r="AA18" s="113">
        <v>0</v>
      </c>
      <c r="AB18" s="114">
        <f t="shared" si="11"/>
        <v>0</v>
      </c>
      <c r="AC18" s="115">
        <f t="shared" si="12"/>
        <v>0</v>
      </c>
    </row>
    <row r="19" spans="1:29" ht="33" customHeight="1" thickBot="1" x14ac:dyDescent="0.3">
      <c r="A19" s="111">
        <f t="shared" si="13"/>
        <v>6</v>
      </c>
      <c r="B19" s="343" t="s">
        <v>302</v>
      </c>
      <c r="C19" s="346" t="s">
        <v>298</v>
      </c>
      <c r="D19" s="345">
        <v>0.25</v>
      </c>
      <c r="E19" s="162">
        <f t="shared" si="0"/>
        <v>0.3</v>
      </c>
      <c r="G19" s="113">
        <v>0</v>
      </c>
      <c r="H19" s="114">
        <f t="shared" si="1"/>
        <v>0</v>
      </c>
      <c r="I19" s="115">
        <f t="shared" si="2"/>
        <v>0</v>
      </c>
      <c r="J19" s="116"/>
      <c r="K19" s="113">
        <v>0</v>
      </c>
      <c r="L19" s="114">
        <f t="shared" si="3"/>
        <v>0</v>
      </c>
      <c r="M19" s="115">
        <f t="shared" si="4"/>
        <v>0</v>
      </c>
      <c r="O19" s="113">
        <v>0</v>
      </c>
      <c r="P19" s="114">
        <f t="shared" si="5"/>
        <v>0</v>
      </c>
      <c r="Q19" s="115">
        <f t="shared" si="6"/>
        <v>0</v>
      </c>
      <c r="S19" s="113">
        <v>0</v>
      </c>
      <c r="T19" s="114">
        <f t="shared" si="7"/>
        <v>0</v>
      </c>
      <c r="U19" s="115">
        <f t="shared" si="8"/>
        <v>0</v>
      </c>
      <c r="V19" s="116"/>
      <c r="W19" s="113">
        <v>0</v>
      </c>
      <c r="X19" s="114">
        <f t="shared" si="9"/>
        <v>0</v>
      </c>
      <c r="Y19" s="115">
        <f t="shared" si="10"/>
        <v>0</v>
      </c>
      <c r="AA19" s="113">
        <v>0</v>
      </c>
      <c r="AB19" s="114">
        <f t="shared" si="11"/>
        <v>0</v>
      </c>
      <c r="AC19" s="115">
        <f t="shared" si="12"/>
        <v>0</v>
      </c>
    </row>
    <row r="20" spans="1:29" ht="33" customHeight="1" thickBot="1" x14ac:dyDescent="0.3">
      <c r="A20" s="111">
        <f t="shared" si="13"/>
        <v>7</v>
      </c>
      <c r="B20" s="343" t="s">
        <v>303</v>
      </c>
      <c r="C20" s="346" t="s">
        <v>298</v>
      </c>
      <c r="D20" s="345">
        <v>0.25</v>
      </c>
      <c r="E20" s="162">
        <f t="shared" si="0"/>
        <v>0.3</v>
      </c>
      <c r="G20" s="113">
        <v>0</v>
      </c>
      <c r="H20" s="114">
        <f t="shared" si="1"/>
        <v>0</v>
      </c>
      <c r="I20" s="115">
        <f t="shared" si="2"/>
        <v>0</v>
      </c>
      <c r="J20" s="116"/>
      <c r="K20" s="113">
        <v>0</v>
      </c>
      <c r="L20" s="114">
        <f t="shared" si="3"/>
        <v>0</v>
      </c>
      <c r="M20" s="115">
        <f t="shared" si="4"/>
        <v>0</v>
      </c>
      <c r="O20" s="113">
        <v>0</v>
      </c>
      <c r="P20" s="114">
        <f t="shared" si="5"/>
        <v>0</v>
      </c>
      <c r="Q20" s="115">
        <f t="shared" si="6"/>
        <v>0</v>
      </c>
      <c r="S20" s="113">
        <v>0</v>
      </c>
      <c r="T20" s="114">
        <f t="shared" si="7"/>
        <v>0</v>
      </c>
      <c r="U20" s="115">
        <f t="shared" si="8"/>
        <v>0</v>
      </c>
      <c r="V20" s="116"/>
      <c r="W20" s="113">
        <v>0</v>
      </c>
      <c r="X20" s="114">
        <f t="shared" si="9"/>
        <v>0</v>
      </c>
      <c r="Y20" s="115">
        <f t="shared" si="10"/>
        <v>0</v>
      </c>
      <c r="AA20" s="113">
        <v>0</v>
      </c>
      <c r="AB20" s="114">
        <f t="shared" si="11"/>
        <v>0</v>
      </c>
      <c r="AC20" s="115">
        <f t="shared" si="12"/>
        <v>0</v>
      </c>
    </row>
    <row r="21" spans="1:29" ht="33" customHeight="1" thickBot="1" x14ac:dyDescent="0.3">
      <c r="A21" s="111">
        <f t="shared" si="13"/>
        <v>8</v>
      </c>
      <c r="B21" s="343" t="s">
        <v>304</v>
      </c>
      <c r="C21" s="346" t="s">
        <v>298</v>
      </c>
      <c r="D21" s="345">
        <v>0.09</v>
      </c>
      <c r="E21" s="162">
        <f t="shared" si="0"/>
        <v>0.11</v>
      </c>
      <c r="G21" s="113">
        <v>0</v>
      </c>
      <c r="H21" s="114">
        <f t="shared" si="1"/>
        <v>0</v>
      </c>
      <c r="I21" s="115">
        <f t="shared" si="2"/>
        <v>0</v>
      </c>
      <c r="J21" s="116"/>
      <c r="K21" s="113">
        <v>0</v>
      </c>
      <c r="L21" s="114">
        <f t="shared" si="3"/>
        <v>0</v>
      </c>
      <c r="M21" s="115">
        <f t="shared" si="4"/>
        <v>0</v>
      </c>
      <c r="O21" s="113">
        <v>0</v>
      </c>
      <c r="P21" s="114">
        <f t="shared" si="5"/>
        <v>0</v>
      </c>
      <c r="Q21" s="115">
        <f t="shared" si="6"/>
        <v>0</v>
      </c>
      <c r="S21" s="113">
        <v>0</v>
      </c>
      <c r="T21" s="114">
        <f t="shared" si="7"/>
        <v>0</v>
      </c>
      <c r="U21" s="115">
        <f t="shared" si="8"/>
        <v>0</v>
      </c>
      <c r="V21" s="116"/>
      <c r="W21" s="113">
        <v>0</v>
      </c>
      <c r="X21" s="114">
        <f t="shared" si="9"/>
        <v>0</v>
      </c>
      <c r="Y21" s="115">
        <f t="shared" si="10"/>
        <v>0</v>
      </c>
      <c r="AA21" s="113">
        <v>0</v>
      </c>
      <c r="AB21" s="114">
        <f t="shared" si="11"/>
        <v>0</v>
      </c>
      <c r="AC21" s="115">
        <f t="shared" si="12"/>
        <v>0</v>
      </c>
    </row>
    <row r="22" spans="1:29" ht="33" customHeight="1" thickBot="1" x14ac:dyDescent="0.3">
      <c r="A22" s="111">
        <f t="shared" si="13"/>
        <v>9</v>
      </c>
      <c r="B22" s="343" t="s">
        <v>305</v>
      </c>
      <c r="C22" s="346" t="s">
        <v>306</v>
      </c>
      <c r="D22" s="345">
        <v>2.6</v>
      </c>
      <c r="E22" s="162">
        <f t="shared" si="0"/>
        <v>3.12</v>
      </c>
      <c r="G22" s="113">
        <v>0</v>
      </c>
      <c r="H22" s="114">
        <f t="shared" si="1"/>
        <v>0</v>
      </c>
      <c r="I22" s="115">
        <f t="shared" si="2"/>
        <v>0</v>
      </c>
      <c r="J22" s="116"/>
      <c r="K22" s="113">
        <v>0</v>
      </c>
      <c r="L22" s="114">
        <f t="shared" si="3"/>
        <v>0</v>
      </c>
      <c r="M22" s="115">
        <f t="shared" si="4"/>
        <v>0</v>
      </c>
      <c r="O22" s="113">
        <v>0</v>
      </c>
      <c r="P22" s="114">
        <f t="shared" si="5"/>
        <v>0</v>
      </c>
      <c r="Q22" s="115">
        <f t="shared" si="6"/>
        <v>0</v>
      </c>
      <c r="S22" s="113">
        <v>0</v>
      </c>
      <c r="T22" s="114">
        <f t="shared" si="7"/>
        <v>0</v>
      </c>
      <c r="U22" s="115">
        <f t="shared" si="8"/>
        <v>0</v>
      </c>
      <c r="V22" s="116"/>
      <c r="W22" s="113">
        <v>0</v>
      </c>
      <c r="X22" s="114">
        <f t="shared" si="9"/>
        <v>0</v>
      </c>
      <c r="Y22" s="115">
        <f t="shared" si="10"/>
        <v>0</v>
      </c>
      <c r="AA22" s="113">
        <v>0</v>
      </c>
      <c r="AB22" s="114">
        <f t="shared" si="11"/>
        <v>0</v>
      </c>
      <c r="AC22" s="115">
        <f t="shared" si="12"/>
        <v>0</v>
      </c>
    </row>
    <row r="23" spans="1:29" ht="33" customHeight="1" thickBot="1" x14ac:dyDescent="0.3">
      <c r="A23" s="111">
        <f t="shared" si="13"/>
        <v>10</v>
      </c>
      <c r="B23" s="343" t="s">
        <v>307</v>
      </c>
      <c r="C23" s="346" t="s">
        <v>298</v>
      </c>
      <c r="D23" s="345">
        <v>2.3199999999999998</v>
      </c>
      <c r="E23" s="162">
        <f t="shared" si="0"/>
        <v>2.78</v>
      </c>
      <c r="G23" s="113">
        <v>0</v>
      </c>
      <c r="H23" s="114">
        <f t="shared" si="1"/>
        <v>0</v>
      </c>
      <c r="I23" s="115">
        <f t="shared" si="2"/>
        <v>0</v>
      </c>
      <c r="J23" s="116"/>
      <c r="K23" s="113">
        <v>0</v>
      </c>
      <c r="L23" s="114">
        <f t="shared" si="3"/>
        <v>0</v>
      </c>
      <c r="M23" s="115">
        <f t="shared" si="4"/>
        <v>0</v>
      </c>
      <c r="O23" s="113">
        <v>0</v>
      </c>
      <c r="P23" s="114">
        <f t="shared" si="5"/>
        <v>0</v>
      </c>
      <c r="Q23" s="115">
        <f t="shared" si="6"/>
        <v>0</v>
      </c>
      <c r="S23" s="113">
        <v>0</v>
      </c>
      <c r="T23" s="114">
        <f t="shared" si="7"/>
        <v>0</v>
      </c>
      <c r="U23" s="115">
        <f t="shared" si="8"/>
        <v>0</v>
      </c>
      <c r="V23" s="116"/>
      <c r="W23" s="113">
        <v>0</v>
      </c>
      <c r="X23" s="114">
        <f t="shared" si="9"/>
        <v>0</v>
      </c>
      <c r="Y23" s="115">
        <f t="shared" si="10"/>
        <v>0</v>
      </c>
      <c r="AA23" s="113">
        <v>0</v>
      </c>
      <c r="AB23" s="114">
        <f t="shared" si="11"/>
        <v>0</v>
      </c>
      <c r="AC23" s="115">
        <f t="shared" si="12"/>
        <v>0</v>
      </c>
    </row>
    <row r="24" spans="1:29" ht="33" customHeight="1" thickBot="1" x14ac:dyDescent="0.3">
      <c r="A24" s="111">
        <f t="shared" si="13"/>
        <v>11</v>
      </c>
      <c r="B24" s="343" t="s">
        <v>308</v>
      </c>
      <c r="C24" s="346" t="s">
        <v>298</v>
      </c>
      <c r="D24" s="345">
        <v>1.76</v>
      </c>
      <c r="E24" s="162">
        <f t="shared" si="0"/>
        <v>2.11</v>
      </c>
      <c r="G24" s="113">
        <v>0</v>
      </c>
      <c r="H24" s="114">
        <f t="shared" si="1"/>
        <v>0</v>
      </c>
      <c r="I24" s="115">
        <f t="shared" si="2"/>
        <v>0</v>
      </c>
      <c r="J24" s="116"/>
      <c r="K24" s="113">
        <v>0</v>
      </c>
      <c r="L24" s="114">
        <f t="shared" si="3"/>
        <v>0</v>
      </c>
      <c r="M24" s="115">
        <f t="shared" si="4"/>
        <v>0</v>
      </c>
      <c r="O24" s="113">
        <v>0</v>
      </c>
      <c r="P24" s="114">
        <f t="shared" si="5"/>
        <v>0</v>
      </c>
      <c r="Q24" s="115">
        <f t="shared" si="6"/>
        <v>0</v>
      </c>
      <c r="S24" s="113">
        <v>0</v>
      </c>
      <c r="T24" s="114">
        <f t="shared" si="7"/>
        <v>0</v>
      </c>
      <c r="U24" s="115">
        <f t="shared" si="8"/>
        <v>0</v>
      </c>
      <c r="V24" s="116"/>
      <c r="W24" s="113">
        <v>0</v>
      </c>
      <c r="X24" s="114">
        <f t="shared" si="9"/>
        <v>0</v>
      </c>
      <c r="Y24" s="115">
        <f t="shared" si="10"/>
        <v>0</v>
      </c>
      <c r="AA24" s="113">
        <v>0</v>
      </c>
      <c r="AB24" s="114">
        <f t="shared" si="11"/>
        <v>0</v>
      </c>
      <c r="AC24" s="115">
        <f t="shared" si="12"/>
        <v>0</v>
      </c>
    </row>
    <row r="25" spans="1:29" ht="33" customHeight="1" thickBot="1" x14ac:dyDescent="0.3">
      <c r="A25" s="111">
        <f t="shared" si="13"/>
        <v>12</v>
      </c>
      <c r="B25" s="343" t="s">
        <v>309</v>
      </c>
      <c r="C25" s="346" t="s">
        <v>310</v>
      </c>
      <c r="D25" s="345">
        <v>0.86</v>
      </c>
      <c r="E25" s="162">
        <f t="shared" si="0"/>
        <v>1.03</v>
      </c>
      <c r="G25" s="113">
        <v>0</v>
      </c>
      <c r="H25" s="114">
        <f t="shared" si="1"/>
        <v>0</v>
      </c>
      <c r="I25" s="115">
        <f t="shared" si="2"/>
        <v>0</v>
      </c>
      <c r="J25" s="116"/>
      <c r="K25" s="113">
        <v>0</v>
      </c>
      <c r="L25" s="114">
        <f t="shared" si="3"/>
        <v>0</v>
      </c>
      <c r="M25" s="115">
        <f t="shared" si="4"/>
        <v>0</v>
      </c>
      <c r="O25" s="113">
        <v>0</v>
      </c>
      <c r="P25" s="114">
        <f t="shared" si="5"/>
        <v>0</v>
      </c>
      <c r="Q25" s="115">
        <f t="shared" si="6"/>
        <v>0</v>
      </c>
      <c r="S25" s="113">
        <v>0</v>
      </c>
      <c r="T25" s="114">
        <f t="shared" si="7"/>
        <v>0</v>
      </c>
      <c r="U25" s="115">
        <f t="shared" si="8"/>
        <v>0</v>
      </c>
      <c r="V25" s="116"/>
      <c r="W25" s="113">
        <v>0</v>
      </c>
      <c r="X25" s="114">
        <f t="shared" si="9"/>
        <v>0</v>
      </c>
      <c r="Y25" s="115">
        <f t="shared" si="10"/>
        <v>0</v>
      </c>
      <c r="AA25" s="113">
        <v>0</v>
      </c>
      <c r="AB25" s="114">
        <f t="shared" si="11"/>
        <v>0</v>
      </c>
      <c r="AC25" s="115">
        <f t="shared" si="12"/>
        <v>0</v>
      </c>
    </row>
    <row r="26" spans="1:29" ht="33" customHeight="1" thickBot="1" x14ac:dyDescent="0.3">
      <c r="A26" s="111">
        <f t="shared" si="13"/>
        <v>13</v>
      </c>
      <c r="B26" s="343" t="s">
        <v>311</v>
      </c>
      <c r="C26" s="344" t="s">
        <v>312</v>
      </c>
      <c r="D26" s="345">
        <v>3.03</v>
      </c>
      <c r="E26" s="162">
        <f t="shared" si="0"/>
        <v>3.64</v>
      </c>
      <c r="G26" s="113">
        <v>0</v>
      </c>
      <c r="H26" s="114">
        <f t="shared" si="1"/>
        <v>0</v>
      </c>
      <c r="I26" s="115">
        <f t="shared" si="2"/>
        <v>0</v>
      </c>
      <c r="J26" s="116"/>
      <c r="K26" s="113">
        <v>0</v>
      </c>
      <c r="L26" s="114">
        <f t="shared" si="3"/>
        <v>0</v>
      </c>
      <c r="M26" s="115">
        <f t="shared" si="4"/>
        <v>0</v>
      </c>
      <c r="O26" s="113">
        <v>0</v>
      </c>
      <c r="P26" s="114">
        <f t="shared" si="5"/>
        <v>0</v>
      </c>
      <c r="Q26" s="115">
        <f t="shared" si="6"/>
        <v>0</v>
      </c>
      <c r="S26" s="113">
        <v>0</v>
      </c>
      <c r="T26" s="114">
        <f t="shared" si="7"/>
        <v>0</v>
      </c>
      <c r="U26" s="115">
        <f t="shared" si="8"/>
        <v>0</v>
      </c>
      <c r="V26" s="116"/>
      <c r="W26" s="113">
        <v>0</v>
      </c>
      <c r="X26" s="114">
        <f t="shared" si="9"/>
        <v>0</v>
      </c>
      <c r="Y26" s="115">
        <f t="shared" si="10"/>
        <v>0</v>
      </c>
      <c r="AA26" s="113">
        <v>0</v>
      </c>
      <c r="AB26" s="114">
        <f t="shared" si="11"/>
        <v>0</v>
      </c>
      <c r="AC26" s="115">
        <f t="shared" si="12"/>
        <v>0</v>
      </c>
    </row>
    <row r="27" spans="1:29" ht="33" customHeight="1" thickBot="1" x14ac:dyDescent="0.3">
      <c r="A27" s="111">
        <f t="shared" si="13"/>
        <v>14</v>
      </c>
      <c r="B27" s="343" t="s">
        <v>313</v>
      </c>
      <c r="C27" s="347" t="s">
        <v>312</v>
      </c>
      <c r="D27" s="345">
        <v>2.63</v>
      </c>
      <c r="E27" s="162">
        <f t="shared" si="0"/>
        <v>3.16</v>
      </c>
      <c r="G27" s="113">
        <v>0</v>
      </c>
      <c r="H27" s="114">
        <f t="shared" si="1"/>
        <v>0</v>
      </c>
      <c r="I27" s="115">
        <f t="shared" si="2"/>
        <v>0</v>
      </c>
      <c r="J27" s="116"/>
      <c r="K27" s="113">
        <v>0</v>
      </c>
      <c r="L27" s="114">
        <f t="shared" si="3"/>
        <v>0</v>
      </c>
      <c r="M27" s="115">
        <f t="shared" si="4"/>
        <v>0</v>
      </c>
      <c r="O27" s="113">
        <v>0</v>
      </c>
      <c r="P27" s="114">
        <f t="shared" si="5"/>
        <v>0</v>
      </c>
      <c r="Q27" s="115">
        <f t="shared" si="6"/>
        <v>0</v>
      </c>
      <c r="S27" s="113">
        <v>0</v>
      </c>
      <c r="T27" s="114">
        <f t="shared" si="7"/>
        <v>0</v>
      </c>
      <c r="U27" s="115">
        <f t="shared" si="8"/>
        <v>0</v>
      </c>
      <c r="V27" s="116"/>
      <c r="W27" s="113">
        <v>0</v>
      </c>
      <c r="X27" s="114">
        <f t="shared" si="9"/>
        <v>0</v>
      </c>
      <c r="Y27" s="115">
        <f t="shared" si="10"/>
        <v>0</v>
      </c>
      <c r="AA27" s="113">
        <v>0</v>
      </c>
      <c r="AB27" s="114">
        <f t="shared" si="11"/>
        <v>0</v>
      </c>
      <c r="AC27" s="115">
        <f t="shared" si="12"/>
        <v>0</v>
      </c>
    </row>
    <row r="28" spans="1:29" ht="33" customHeight="1" thickBot="1" x14ac:dyDescent="0.3">
      <c r="A28" s="111">
        <f t="shared" si="13"/>
        <v>15</v>
      </c>
      <c r="B28" s="343" t="s">
        <v>314</v>
      </c>
      <c r="C28" s="344" t="s">
        <v>315</v>
      </c>
      <c r="D28" s="345">
        <v>0.36</v>
      </c>
      <c r="E28" s="162">
        <f t="shared" si="0"/>
        <v>0.43</v>
      </c>
      <c r="G28" s="113">
        <v>0</v>
      </c>
      <c r="H28" s="114">
        <f t="shared" si="1"/>
        <v>0</v>
      </c>
      <c r="I28" s="115">
        <f t="shared" si="2"/>
        <v>0</v>
      </c>
      <c r="J28" s="116"/>
      <c r="K28" s="113">
        <v>0</v>
      </c>
      <c r="L28" s="114">
        <f t="shared" si="3"/>
        <v>0</v>
      </c>
      <c r="M28" s="115">
        <f t="shared" si="4"/>
        <v>0</v>
      </c>
      <c r="O28" s="113">
        <v>0</v>
      </c>
      <c r="P28" s="114">
        <f t="shared" si="5"/>
        <v>0</v>
      </c>
      <c r="Q28" s="115">
        <f t="shared" si="6"/>
        <v>0</v>
      </c>
      <c r="S28" s="113">
        <v>0</v>
      </c>
      <c r="T28" s="114">
        <f t="shared" si="7"/>
        <v>0</v>
      </c>
      <c r="U28" s="115">
        <f t="shared" si="8"/>
        <v>0</v>
      </c>
      <c r="V28" s="116"/>
      <c r="W28" s="113">
        <v>0</v>
      </c>
      <c r="X28" s="114">
        <f t="shared" si="9"/>
        <v>0</v>
      </c>
      <c r="Y28" s="115">
        <f t="shared" si="10"/>
        <v>0</v>
      </c>
      <c r="AA28" s="113">
        <v>0</v>
      </c>
      <c r="AB28" s="114">
        <f t="shared" si="11"/>
        <v>0</v>
      </c>
      <c r="AC28" s="115">
        <f t="shared" si="12"/>
        <v>0</v>
      </c>
    </row>
    <row r="29" spans="1:29" ht="33" customHeight="1" thickBot="1" x14ac:dyDescent="0.3">
      <c r="A29" s="111">
        <f t="shared" si="13"/>
        <v>16</v>
      </c>
      <c r="B29" s="343" t="s">
        <v>316</v>
      </c>
      <c r="C29" s="346" t="s">
        <v>298</v>
      </c>
      <c r="D29" s="345">
        <v>1.21</v>
      </c>
      <c r="E29" s="162">
        <f t="shared" si="0"/>
        <v>1.45</v>
      </c>
      <c r="G29" s="113">
        <v>0</v>
      </c>
      <c r="H29" s="114">
        <f t="shared" si="1"/>
        <v>0</v>
      </c>
      <c r="I29" s="115">
        <f t="shared" si="2"/>
        <v>0</v>
      </c>
      <c r="J29" s="116"/>
      <c r="K29" s="113">
        <v>0</v>
      </c>
      <c r="L29" s="114">
        <f t="shared" si="3"/>
        <v>0</v>
      </c>
      <c r="M29" s="115">
        <f t="shared" si="4"/>
        <v>0</v>
      </c>
      <c r="O29" s="113">
        <v>0</v>
      </c>
      <c r="P29" s="114">
        <f t="shared" si="5"/>
        <v>0</v>
      </c>
      <c r="Q29" s="115">
        <f t="shared" si="6"/>
        <v>0</v>
      </c>
      <c r="S29" s="113">
        <v>0</v>
      </c>
      <c r="T29" s="114">
        <f t="shared" si="7"/>
        <v>0</v>
      </c>
      <c r="U29" s="115">
        <f t="shared" si="8"/>
        <v>0</v>
      </c>
      <c r="V29" s="116"/>
      <c r="W29" s="113">
        <v>0</v>
      </c>
      <c r="X29" s="114">
        <f t="shared" si="9"/>
        <v>0</v>
      </c>
      <c r="Y29" s="115">
        <f t="shared" si="10"/>
        <v>0</v>
      </c>
      <c r="AA29" s="113">
        <v>0</v>
      </c>
      <c r="AB29" s="114">
        <f t="shared" si="11"/>
        <v>0</v>
      </c>
      <c r="AC29" s="115">
        <f t="shared" si="12"/>
        <v>0</v>
      </c>
    </row>
    <row r="30" spans="1:29" ht="33" customHeight="1" thickBot="1" x14ac:dyDescent="0.3">
      <c r="A30" s="111">
        <f t="shared" si="13"/>
        <v>17</v>
      </c>
      <c r="B30" s="343" t="s">
        <v>317</v>
      </c>
      <c r="C30" s="347" t="s">
        <v>318</v>
      </c>
      <c r="D30" s="345">
        <v>0.22</v>
      </c>
      <c r="E30" s="162">
        <f t="shared" si="0"/>
        <v>0.26</v>
      </c>
      <c r="G30" s="113">
        <v>0</v>
      </c>
      <c r="H30" s="114">
        <f t="shared" si="1"/>
        <v>0</v>
      </c>
      <c r="I30" s="115">
        <f t="shared" si="2"/>
        <v>0</v>
      </c>
      <c r="J30" s="116"/>
      <c r="K30" s="113">
        <v>0</v>
      </c>
      <c r="L30" s="114">
        <f t="shared" si="3"/>
        <v>0</v>
      </c>
      <c r="M30" s="115">
        <f t="shared" si="4"/>
        <v>0</v>
      </c>
      <c r="O30" s="113">
        <v>0</v>
      </c>
      <c r="P30" s="114">
        <f t="shared" si="5"/>
        <v>0</v>
      </c>
      <c r="Q30" s="115">
        <f t="shared" si="6"/>
        <v>0</v>
      </c>
      <c r="S30" s="113">
        <v>0</v>
      </c>
      <c r="T30" s="114">
        <f t="shared" si="7"/>
        <v>0</v>
      </c>
      <c r="U30" s="115">
        <f t="shared" si="8"/>
        <v>0</v>
      </c>
      <c r="V30" s="116"/>
      <c r="W30" s="113">
        <v>0</v>
      </c>
      <c r="X30" s="114">
        <f t="shared" si="9"/>
        <v>0</v>
      </c>
      <c r="Y30" s="115">
        <f t="shared" si="10"/>
        <v>0</v>
      </c>
      <c r="AA30" s="113">
        <v>0</v>
      </c>
      <c r="AB30" s="114">
        <f t="shared" si="11"/>
        <v>0</v>
      </c>
      <c r="AC30" s="115">
        <f t="shared" si="12"/>
        <v>0</v>
      </c>
    </row>
    <row r="31" spans="1:29" ht="33" customHeight="1" thickBot="1" x14ac:dyDescent="0.3">
      <c r="A31" s="111">
        <f t="shared" si="13"/>
        <v>18</v>
      </c>
      <c r="B31" s="343" t="s">
        <v>319</v>
      </c>
      <c r="C31" s="347" t="s">
        <v>320</v>
      </c>
      <c r="D31" s="345">
        <v>5.41</v>
      </c>
      <c r="E31" s="162">
        <f t="shared" si="0"/>
        <v>6.49</v>
      </c>
      <c r="G31" s="113">
        <v>0</v>
      </c>
      <c r="H31" s="114">
        <f t="shared" si="1"/>
        <v>0</v>
      </c>
      <c r="I31" s="115">
        <f t="shared" si="2"/>
        <v>0</v>
      </c>
      <c r="J31" s="116"/>
      <c r="K31" s="113">
        <v>0</v>
      </c>
      <c r="L31" s="114">
        <f t="shared" si="3"/>
        <v>0</v>
      </c>
      <c r="M31" s="115">
        <f t="shared" si="4"/>
        <v>0</v>
      </c>
      <c r="O31" s="113">
        <v>0</v>
      </c>
      <c r="P31" s="114">
        <f t="shared" si="5"/>
        <v>0</v>
      </c>
      <c r="Q31" s="115">
        <f t="shared" si="6"/>
        <v>0</v>
      </c>
      <c r="S31" s="113">
        <v>0</v>
      </c>
      <c r="T31" s="114">
        <f t="shared" si="7"/>
        <v>0</v>
      </c>
      <c r="U31" s="115">
        <f t="shared" si="8"/>
        <v>0</v>
      </c>
      <c r="V31" s="116"/>
      <c r="W31" s="113">
        <v>0</v>
      </c>
      <c r="X31" s="114">
        <f t="shared" si="9"/>
        <v>0</v>
      </c>
      <c r="Y31" s="115">
        <f t="shared" si="10"/>
        <v>0</v>
      </c>
      <c r="AA31" s="113">
        <v>0</v>
      </c>
      <c r="AB31" s="114">
        <f t="shared" si="11"/>
        <v>0</v>
      </c>
      <c r="AC31" s="115">
        <f t="shared" si="12"/>
        <v>0</v>
      </c>
    </row>
    <row r="32" spans="1:29" ht="33" customHeight="1" thickBot="1" x14ac:dyDescent="0.3">
      <c r="A32" s="111">
        <f t="shared" si="13"/>
        <v>19</v>
      </c>
      <c r="B32" s="343" t="s">
        <v>321</v>
      </c>
      <c r="C32" s="346" t="s">
        <v>322</v>
      </c>
      <c r="D32" s="345">
        <v>3.03</v>
      </c>
      <c r="E32" s="162">
        <f t="shared" si="0"/>
        <v>3.64</v>
      </c>
      <c r="G32" s="113">
        <v>0</v>
      </c>
      <c r="H32" s="114">
        <f t="shared" si="1"/>
        <v>0</v>
      </c>
      <c r="I32" s="115">
        <f t="shared" si="2"/>
        <v>0</v>
      </c>
      <c r="J32" s="116"/>
      <c r="K32" s="113">
        <v>0</v>
      </c>
      <c r="L32" s="114">
        <f t="shared" si="3"/>
        <v>0</v>
      </c>
      <c r="M32" s="115">
        <f t="shared" si="4"/>
        <v>0</v>
      </c>
      <c r="O32" s="113">
        <v>0</v>
      </c>
      <c r="P32" s="114">
        <f t="shared" si="5"/>
        <v>0</v>
      </c>
      <c r="Q32" s="115">
        <f t="shared" si="6"/>
        <v>0</v>
      </c>
      <c r="S32" s="113">
        <v>0</v>
      </c>
      <c r="T32" s="114">
        <f t="shared" si="7"/>
        <v>0</v>
      </c>
      <c r="U32" s="115">
        <f t="shared" si="8"/>
        <v>0</v>
      </c>
      <c r="V32" s="116"/>
      <c r="W32" s="113">
        <v>0</v>
      </c>
      <c r="X32" s="114">
        <f t="shared" si="9"/>
        <v>0</v>
      </c>
      <c r="Y32" s="115">
        <f t="shared" si="10"/>
        <v>0</v>
      </c>
      <c r="AA32" s="113">
        <v>0</v>
      </c>
      <c r="AB32" s="114">
        <f t="shared" si="11"/>
        <v>0</v>
      </c>
      <c r="AC32" s="115">
        <f t="shared" si="12"/>
        <v>0</v>
      </c>
    </row>
    <row r="33" spans="1:29" ht="33" customHeight="1" thickBot="1" x14ac:dyDescent="0.3">
      <c r="A33" s="111">
        <f t="shared" si="13"/>
        <v>20</v>
      </c>
      <c r="B33" s="343" t="s">
        <v>323</v>
      </c>
      <c r="C33" s="344" t="s">
        <v>324</v>
      </c>
      <c r="D33" s="345">
        <v>1.37</v>
      </c>
      <c r="E33" s="162">
        <f t="shared" si="0"/>
        <v>1.64</v>
      </c>
      <c r="G33" s="113">
        <v>0</v>
      </c>
      <c r="H33" s="114">
        <f t="shared" si="1"/>
        <v>0</v>
      </c>
      <c r="I33" s="115">
        <f t="shared" si="2"/>
        <v>0</v>
      </c>
      <c r="J33" s="116"/>
      <c r="K33" s="113">
        <v>0</v>
      </c>
      <c r="L33" s="114">
        <f t="shared" si="3"/>
        <v>0</v>
      </c>
      <c r="M33" s="115">
        <f t="shared" si="4"/>
        <v>0</v>
      </c>
      <c r="O33" s="113">
        <v>0</v>
      </c>
      <c r="P33" s="114">
        <f t="shared" si="5"/>
        <v>0</v>
      </c>
      <c r="Q33" s="115">
        <f t="shared" si="6"/>
        <v>0</v>
      </c>
      <c r="S33" s="113">
        <v>0</v>
      </c>
      <c r="T33" s="114">
        <f t="shared" si="7"/>
        <v>0</v>
      </c>
      <c r="U33" s="115">
        <f t="shared" si="8"/>
        <v>0</v>
      </c>
      <c r="V33" s="116"/>
      <c r="W33" s="113">
        <v>0</v>
      </c>
      <c r="X33" s="114">
        <f t="shared" si="9"/>
        <v>0</v>
      </c>
      <c r="Y33" s="115">
        <f t="shared" si="10"/>
        <v>0</v>
      </c>
      <c r="AA33" s="113">
        <v>0</v>
      </c>
      <c r="AB33" s="114">
        <f t="shared" si="11"/>
        <v>0</v>
      </c>
      <c r="AC33" s="115">
        <f t="shared" si="12"/>
        <v>0</v>
      </c>
    </row>
    <row r="34" spans="1:29" ht="33" customHeight="1" thickBot="1" x14ac:dyDescent="0.3">
      <c r="A34" s="111">
        <f t="shared" si="13"/>
        <v>21</v>
      </c>
      <c r="B34" s="343" t="s">
        <v>325</v>
      </c>
      <c r="C34" s="346" t="s">
        <v>326</v>
      </c>
      <c r="D34" s="345">
        <v>36.18</v>
      </c>
      <c r="E34" s="162">
        <f t="shared" si="0"/>
        <v>43.42</v>
      </c>
      <c r="G34" s="113">
        <v>0</v>
      </c>
      <c r="H34" s="114">
        <f t="shared" si="1"/>
        <v>0</v>
      </c>
      <c r="I34" s="115">
        <f t="shared" si="2"/>
        <v>0</v>
      </c>
      <c r="J34" s="116"/>
      <c r="K34" s="113">
        <v>0</v>
      </c>
      <c r="L34" s="114">
        <f t="shared" si="3"/>
        <v>0</v>
      </c>
      <c r="M34" s="115">
        <f t="shared" si="4"/>
        <v>0</v>
      </c>
      <c r="O34" s="113">
        <v>0</v>
      </c>
      <c r="P34" s="114">
        <f t="shared" si="5"/>
        <v>0</v>
      </c>
      <c r="Q34" s="115">
        <f t="shared" si="6"/>
        <v>0</v>
      </c>
      <c r="S34" s="113">
        <v>0</v>
      </c>
      <c r="T34" s="114">
        <f t="shared" si="7"/>
        <v>0</v>
      </c>
      <c r="U34" s="115">
        <f t="shared" si="8"/>
        <v>0</v>
      </c>
      <c r="V34" s="116"/>
      <c r="W34" s="113">
        <v>0</v>
      </c>
      <c r="X34" s="114">
        <f t="shared" si="9"/>
        <v>0</v>
      </c>
      <c r="Y34" s="115">
        <f t="shared" si="10"/>
        <v>0</v>
      </c>
      <c r="AA34" s="113">
        <v>0</v>
      </c>
      <c r="AB34" s="114">
        <f t="shared" si="11"/>
        <v>0</v>
      </c>
      <c r="AC34" s="115">
        <f t="shared" si="12"/>
        <v>0</v>
      </c>
    </row>
    <row r="35" spans="1:29" ht="33" customHeight="1" thickBot="1" x14ac:dyDescent="0.3">
      <c r="A35" s="111">
        <f t="shared" si="13"/>
        <v>22</v>
      </c>
      <c r="B35" s="343" t="s">
        <v>327</v>
      </c>
      <c r="C35" s="346" t="s">
        <v>328</v>
      </c>
      <c r="D35" s="345">
        <v>1.82</v>
      </c>
      <c r="E35" s="162">
        <f t="shared" si="0"/>
        <v>2.1800000000000002</v>
      </c>
      <c r="G35" s="113">
        <v>0</v>
      </c>
      <c r="H35" s="114">
        <f t="shared" si="1"/>
        <v>0</v>
      </c>
      <c r="I35" s="115">
        <f t="shared" si="2"/>
        <v>0</v>
      </c>
      <c r="J35" s="116"/>
      <c r="K35" s="113">
        <v>0</v>
      </c>
      <c r="L35" s="114">
        <f t="shared" si="3"/>
        <v>0</v>
      </c>
      <c r="M35" s="115">
        <f t="shared" si="4"/>
        <v>0</v>
      </c>
      <c r="O35" s="113">
        <v>0</v>
      </c>
      <c r="P35" s="114">
        <f t="shared" si="5"/>
        <v>0</v>
      </c>
      <c r="Q35" s="115">
        <f t="shared" si="6"/>
        <v>0</v>
      </c>
      <c r="S35" s="113">
        <v>0</v>
      </c>
      <c r="T35" s="114">
        <f t="shared" si="7"/>
        <v>0</v>
      </c>
      <c r="U35" s="115">
        <f t="shared" si="8"/>
        <v>0</v>
      </c>
      <c r="V35" s="116"/>
      <c r="W35" s="113">
        <v>0</v>
      </c>
      <c r="X35" s="114">
        <f t="shared" si="9"/>
        <v>0</v>
      </c>
      <c r="Y35" s="115">
        <f t="shared" si="10"/>
        <v>0</v>
      </c>
      <c r="AA35" s="113">
        <v>0</v>
      </c>
      <c r="AB35" s="114">
        <f t="shared" si="11"/>
        <v>0</v>
      </c>
      <c r="AC35" s="115">
        <f t="shared" si="12"/>
        <v>0</v>
      </c>
    </row>
    <row r="36" spans="1:29" ht="33" customHeight="1" thickBot="1" x14ac:dyDescent="0.3">
      <c r="A36" s="111">
        <f t="shared" si="13"/>
        <v>23</v>
      </c>
      <c r="B36" s="343" t="s">
        <v>329</v>
      </c>
      <c r="C36" s="346" t="s">
        <v>298</v>
      </c>
      <c r="D36" s="345">
        <v>0.73</v>
      </c>
      <c r="E36" s="162">
        <f t="shared" si="0"/>
        <v>0.88</v>
      </c>
      <c r="G36" s="113">
        <v>0</v>
      </c>
      <c r="H36" s="114">
        <f t="shared" si="1"/>
        <v>0</v>
      </c>
      <c r="I36" s="115">
        <f t="shared" si="2"/>
        <v>0</v>
      </c>
      <c r="J36" s="116"/>
      <c r="K36" s="113">
        <v>0</v>
      </c>
      <c r="L36" s="114">
        <f t="shared" si="3"/>
        <v>0</v>
      </c>
      <c r="M36" s="115">
        <f t="shared" si="4"/>
        <v>0</v>
      </c>
      <c r="O36" s="113">
        <v>0</v>
      </c>
      <c r="P36" s="114">
        <f t="shared" si="5"/>
        <v>0</v>
      </c>
      <c r="Q36" s="115">
        <f t="shared" si="6"/>
        <v>0</v>
      </c>
      <c r="S36" s="113">
        <v>0</v>
      </c>
      <c r="T36" s="114">
        <f t="shared" si="7"/>
        <v>0</v>
      </c>
      <c r="U36" s="115">
        <f t="shared" si="8"/>
        <v>0</v>
      </c>
      <c r="V36" s="116"/>
      <c r="W36" s="113">
        <v>0</v>
      </c>
      <c r="X36" s="114">
        <f t="shared" si="9"/>
        <v>0</v>
      </c>
      <c r="Y36" s="115">
        <f t="shared" si="10"/>
        <v>0</v>
      </c>
      <c r="AA36" s="113">
        <v>0</v>
      </c>
      <c r="AB36" s="114">
        <f t="shared" si="11"/>
        <v>0</v>
      </c>
      <c r="AC36" s="115">
        <f t="shared" si="12"/>
        <v>0</v>
      </c>
    </row>
    <row r="37" spans="1:29" ht="33" customHeight="1" thickBot="1" x14ac:dyDescent="0.3">
      <c r="A37" s="111">
        <f t="shared" si="13"/>
        <v>24</v>
      </c>
      <c r="B37" s="343" t="s">
        <v>330</v>
      </c>
      <c r="C37" s="346" t="s">
        <v>298</v>
      </c>
      <c r="D37" s="345">
        <v>0.67</v>
      </c>
      <c r="E37" s="162">
        <f t="shared" si="0"/>
        <v>0.8</v>
      </c>
      <c r="G37" s="113">
        <v>0</v>
      </c>
      <c r="H37" s="114">
        <f t="shared" si="1"/>
        <v>0</v>
      </c>
      <c r="I37" s="115">
        <f t="shared" si="2"/>
        <v>0</v>
      </c>
      <c r="J37" s="116"/>
      <c r="K37" s="113">
        <v>0</v>
      </c>
      <c r="L37" s="114">
        <f t="shared" si="3"/>
        <v>0</v>
      </c>
      <c r="M37" s="115">
        <f t="shared" si="4"/>
        <v>0</v>
      </c>
      <c r="O37" s="113">
        <v>0</v>
      </c>
      <c r="P37" s="114">
        <f t="shared" si="5"/>
        <v>0</v>
      </c>
      <c r="Q37" s="115">
        <f t="shared" si="6"/>
        <v>0</v>
      </c>
      <c r="S37" s="113">
        <v>0</v>
      </c>
      <c r="T37" s="114">
        <f t="shared" si="7"/>
        <v>0</v>
      </c>
      <c r="U37" s="115">
        <f t="shared" si="8"/>
        <v>0</v>
      </c>
      <c r="V37" s="116"/>
      <c r="W37" s="113">
        <v>0</v>
      </c>
      <c r="X37" s="114">
        <f t="shared" si="9"/>
        <v>0</v>
      </c>
      <c r="Y37" s="115">
        <f t="shared" si="10"/>
        <v>0</v>
      </c>
      <c r="AA37" s="113">
        <v>0</v>
      </c>
      <c r="AB37" s="114">
        <f t="shared" si="11"/>
        <v>0</v>
      </c>
      <c r="AC37" s="115">
        <f t="shared" si="12"/>
        <v>0</v>
      </c>
    </row>
    <row r="38" spans="1:29" ht="33" customHeight="1" thickBot="1" x14ac:dyDescent="0.3">
      <c r="A38" s="111">
        <f t="shared" si="13"/>
        <v>25</v>
      </c>
      <c r="B38" s="343" t="s">
        <v>331</v>
      </c>
      <c r="C38" s="346" t="s">
        <v>298</v>
      </c>
      <c r="D38" s="345">
        <v>0.85</v>
      </c>
      <c r="E38" s="162">
        <f t="shared" si="0"/>
        <v>1.02</v>
      </c>
      <c r="G38" s="113">
        <v>0</v>
      </c>
      <c r="H38" s="114">
        <f t="shared" si="1"/>
        <v>0</v>
      </c>
      <c r="I38" s="115">
        <f t="shared" si="2"/>
        <v>0</v>
      </c>
      <c r="J38" s="116"/>
      <c r="K38" s="113">
        <v>0</v>
      </c>
      <c r="L38" s="114">
        <f t="shared" si="3"/>
        <v>0</v>
      </c>
      <c r="M38" s="115">
        <f t="shared" si="4"/>
        <v>0</v>
      </c>
      <c r="O38" s="113">
        <v>0</v>
      </c>
      <c r="P38" s="114">
        <f t="shared" si="5"/>
        <v>0</v>
      </c>
      <c r="Q38" s="115">
        <f t="shared" si="6"/>
        <v>0</v>
      </c>
      <c r="S38" s="113">
        <v>0</v>
      </c>
      <c r="T38" s="114">
        <f t="shared" si="7"/>
        <v>0</v>
      </c>
      <c r="U38" s="115">
        <f t="shared" si="8"/>
        <v>0</v>
      </c>
      <c r="V38" s="116"/>
      <c r="W38" s="113">
        <v>0</v>
      </c>
      <c r="X38" s="114">
        <f t="shared" si="9"/>
        <v>0</v>
      </c>
      <c r="Y38" s="115">
        <f t="shared" si="10"/>
        <v>0</v>
      </c>
      <c r="AA38" s="113">
        <v>0</v>
      </c>
      <c r="AB38" s="114">
        <f t="shared" si="11"/>
        <v>0</v>
      </c>
      <c r="AC38" s="115">
        <f t="shared" si="12"/>
        <v>0</v>
      </c>
    </row>
    <row r="39" spans="1:29" ht="33" customHeight="1" thickBot="1" x14ac:dyDescent="0.3">
      <c r="A39" s="111">
        <f t="shared" si="13"/>
        <v>26</v>
      </c>
      <c r="B39" s="343" t="s">
        <v>332</v>
      </c>
      <c r="C39" s="344" t="s">
        <v>318</v>
      </c>
      <c r="D39" s="345">
        <v>0.23</v>
      </c>
      <c r="E39" s="162">
        <f t="shared" si="0"/>
        <v>0.28000000000000003</v>
      </c>
      <c r="G39" s="113">
        <v>0</v>
      </c>
      <c r="H39" s="114">
        <f t="shared" si="1"/>
        <v>0</v>
      </c>
      <c r="I39" s="115">
        <f t="shared" si="2"/>
        <v>0</v>
      </c>
      <c r="J39" s="116"/>
      <c r="K39" s="113">
        <v>0</v>
      </c>
      <c r="L39" s="114">
        <f t="shared" si="3"/>
        <v>0</v>
      </c>
      <c r="M39" s="115">
        <f t="shared" si="4"/>
        <v>0</v>
      </c>
      <c r="O39" s="113">
        <v>0</v>
      </c>
      <c r="P39" s="114">
        <f t="shared" si="5"/>
        <v>0</v>
      </c>
      <c r="Q39" s="115">
        <f t="shared" si="6"/>
        <v>0</v>
      </c>
      <c r="S39" s="113">
        <v>0</v>
      </c>
      <c r="T39" s="114">
        <f t="shared" si="7"/>
        <v>0</v>
      </c>
      <c r="U39" s="115">
        <f t="shared" si="8"/>
        <v>0</v>
      </c>
      <c r="V39" s="116"/>
      <c r="W39" s="113">
        <v>0</v>
      </c>
      <c r="X39" s="114">
        <f t="shared" si="9"/>
        <v>0</v>
      </c>
      <c r="Y39" s="115">
        <f t="shared" si="10"/>
        <v>0</v>
      </c>
      <c r="AA39" s="113">
        <v>0</v>
      </c>
      <c r="AB39" s="114">
        <f t="shared" si="11"/>
        <v>0</v>
      </c>
      <c r="AC39" s="115">
        <f t="shared" si="12"/>
        <v>0</v>
      </c>
    </row>
    <row r="40" spans="1:29" ht="33" customHeight="1" thickBot="1" x14ac:dyDescent="0.3">
      <c r="A40" s="111">
        <f t="shared" si="13"/>
        <v>27</v>
      </c>
      <c r="B40" s="343" t="s">
        <v>333</v>
      </c>
      <c r="C40" s="346" t="s">
        <v>298</v>
      </c>
      <c r="D40" s="345">
        <v>4.07</v>
      </c>
      <c r="E40" s="162">
        <f t="shared" si="0"/>
        <v>4.88</v>
      </c>
      <c r="G40" s="113">
        <v>0</v>
      </c>
      <c r="H40" s="114">
        <f t="shared" si="1"/>
        <v>0</v>
      </c>
      <c r="I40" s="115">
        <f t="shared" si="2"/>
        <v>0</v>
      </c>
      <c r="J40" s="116"/>
      <c r="K40" s="113">
        <v>0</v>
      </c>
      <c r="L40" s="114">
        <f t="shared" si="3"/>
        <v>0</v>
      </c>
      <c r="M40" s="115">
        <f t="shared" si="4"/>
        <v>0</v>
      </c>
      <c r="O40" s="113">
        <v>0</v>
      </c>
      <c r="P40" s="114">
        <f t="shared" si="5"/>
        <v>0</v>
      </c>
      <c r="Q40" s="115">
        <f t="shared" si="6"/>
        <v>0</v>
      </c>
      <c r="S40" s="113">
        <v>0</v>
      </c>
      <c r="T40" s="114">
        <f t="shared" si="7"/>
        <v>0</v>
      </c>
      <c r="U40" s="115">
        <f t="shared" si="8"/>
        <v>0</v>
      </c>
      <c r="V40" s="116"/>
      <c r="W40" s="113">
        <v>0</v>
      </c>
      <c r="X40" s="114">
        <f t="shared" si="9"/>
        <v>0</v>
      </c>
      <c r="Y40" s="115">
        <f t="shared" si="10"/>
        <v>0</v>
      </c>
      <c r="AA40" s="113">
        <v>0</v>
      </c>
      <c r="AB40" s="114">
        <f t="shared" si="11"/>
        <v>0</v>
      </c>
      <c r="AC40" s="115">
        <f t="shared" si="12"/>
        <v>0</v>
      </c>
    </row>
    <row r="41" spans="1:29" ht="33" customHeight="1" thickBot="1" x14ac:dyDescent="0.3">
      <c r="A41" s="111">
        <f t="shared" si="13"/>
        <v>28</v>
      </c>
      <c r="B41" s="343" t="s">
        <v>334</v>
      </c>
      <c r="C41" s="344" t="s">
        <v>335</v>
      </c>
      <c r="D41" s="345">
        <v>0.77</v>
      </c>
      <c r="E41" s="162">
        <f t="shared" si="0"/>
        <v>0.92</v>
      </c>
      <c r="G41" s="113">
        <v>0</v>
      </c>
      <c r="H41" s="114">
        <f t="shared" si="1"/>
        <v>0</v>
      </c>
      <c r="I41" s="115">
        <f t="shared" si="2"/>
        <v>0</v>
      </c>
      <c r="J41" s="116"/>
      <c r="K41" s="113">
        <v>0</v>
      </c>
      <c r="L41" s="114">
        <f t="shared" si="3"/>
        <v>0</v>
      </c>
      <c r="M41" s="115">
        <f t="shared" si="4"/>
        <v>0</v>
      </c>
      <c r="O41" s="113">
        <v>0</v>
      </c>
      <c r="P41" s="114">
        <f t="shared" si="5"/>
        <v>0</v>
      </c>
      <c r="Q41" s="115">
        <f t="shared" si="6"/>
        <v>0</v>
      </c>
      <c r="S41" s="113">
        <v>0</v>
      </c>
      <c r="T41" s="114">
        <f t="shared" si="7"/>
        <v>0</v>
      </c>
      <c r="U41" s="115">
        <f t="shared" si="8"/>
        <v>0</v>
      </c>
      <c r="V41" s="116"/>
      <c r="W41" s="113">
        <v>0</v>
      </c>
      <c r="X41" s="114">
        <f t="shared" si="9"/>
        <v>0</v>
      </c>
      <c r="Y41" s="115">
        <f t="shared" si="10"/>
        <v>0</v>
      </c>
      <c r="AA41" s="113">
        <v>0</v>
      </c>
      <c r="AB41" s="114">
        <f t="shared" si="11"/>
        <v>0</v>
      </c>
      <c r="AC41" s="115">
        <f t="shared" si="12"/>
        <v>0</v>
      </c>
    </row>
    <row r="42" spans="1:29" ht="33" customHeight="1" thickBot="1" x14ac:dyDescent="0.3">
      <c r="A42" s="111">
        <f t="shared" si="13"/>
        <v>29</v>
      </c>
      <c r="B42" s="343" t="s">
        <v>480</v>
      </c>
      <c r="C42" s="346" t="s">
        <v>336</v>
      </c>
      <c r="D42" s="345">
        <v>7.06</v>
      </c>
      <c r="E42" s="162">
        <f t="shared" si="0"/>
        <v>8.4700000000000006</v>
      </c>
      <c r="G42" s="113">
        <v>0</v>
      </c>
      <c r="H42" s="114">
        <f t="shared" si="1"/>
        <v>0</v>
      </c>
      <c r="I42" s="115">
        <f t="shared" si="2"/>
        <v>0</v>
      </c>
      <c r="J42" s="116"/>
      <c r="K42" s="113">
        <v>0</v>
      </c>
      <c r="L42" s="114">
        <f t="shared" si="3"/>
        <v>0</v>
      </c>
      <c r="M42" s="115">
        <f t="shared" si="4"/>
        <v>0</v>
      </c>
      <c r="O42" s="113">
        <v>0</v>
      </c>
      <c r="P42" s="114">
        <f t="shared" si="5"/>
        <v>0</v>
      </c>
      <c r="Q42" s="115">
        <f t="shared" si="6"/>
        <v>0</v>
      </c>
      <c r="S42" s="113">
        <v>0</v>
      </c>
      <c r="T42" s="114">
        <f t="shared" si="7"/>
        <v>0</v>
      </c>
      <c r="U42" s="115">
        <f t="shared" si="8"/>
        <v>0</v>
      </c>
      <c r="V42" s="116"/>
      <c r="W42" s="113">
        <v>0</v>
      </c>
      <c r="X42" s="114">
        <f t="shared" si="9"/>
        <v>0</v>
      </c>
      <c r="Y42" s="115">
        <f t="shared" si="10"/>
        <v>0</v>
      </c>
      <c r="AA42" s="113">
        <v>0</v>
      </c>
      <c r="AB42" s="114">
        <f t="shared" si="11"/>
        <v>0</v>
      </c>
      <c r="AC42" s="115">
        <f t="shared" si="12"/>
        <v>0</v>
      </c>
    </row>
    <row r="43" spans="1:29" ht="33" customHeight="1" thickBot="1" x14ac:dyDescent="0.3">
      <c r="A43" s="111">
        <f t="shared" si="13"/>
        <v>30</v>
      </c>
      <c r="B43" s="343" t="s">
        <v>481</v>
      </c>
      <c r="C43" s="346" t="s">
        <v>336</v>
      </c>
      <c r="D43" s="345">
        <v>10.24</v>
      </c>
      <c r="E43" s="162">
        <f t="shared" si="0"/>
        <v>12.29</v>
      </c>
      <c r="G43" s="113">
        <v>0</v>
      </c>
      <c r="H43" s="114">
        <f t="shared" si="1"/>
        <v>0</v>
      </c>
      <c r="I43" s="115">
        <f t="shared" si="2"/>
        <v>0</v>
      </c>
      <c r="J43" s="116"/>
      <c r="K43" s="113">
        <v>0</v>
      </c>
      <c r="L43" s="114">
        <f t="shared" si="3"/>
        <v>0</v>
      </c>
      <c r="M43" s="115">
        <f t="shared" si="4"/>
        <v>0</v>
      </c>
      <c r="O43" s="113">
        <v>0</v>
      </c>
      <c r="P43" s="114">
        <f t="shared" si="5"/>
        <v>0</v>
      </c>
      <c r="Q43" s="115">
        <f t="shared" si="6"/>
        <v>0</v>
      </c>
      <c r="S43" s="113">
        <v>0</v>
      </c>
      <c r="T43" s="114">
        <f t="shared" si="7"/>
        <v>0</v>
      </c>
      <c r="U43" s="115">
        <f t="shared" si="8"/>
        <v>0</v>
      </c>
      <c r="V43" s="116"/>
      <c r="W43" s="113">
        <v>0</v>
      </c>
      <c r="X43" s="114">
        <f t="shared" si="9"/>
        <v>0</v>
      </c>
      <c r="Y43" s="115">
        <f t="shared" si="10"/>
        <v>0</v>
      </c>
      <c r="AA43" s="113">
        <v>0</v>
      </c>
      <c r="AB43" s="114">
        <f t="shared" si="11"/>
        <v>0</v>
      </c>
      <c r="AC43" s="115">
        <f t="shared" si="12"/>
        <v>0</v>
      </c>
    </row>
    <row r="44" spans="1:29" ht="33" customHeight="1" thickBot="1" x14ac:dyDescent="0.3">
      <c r="A44" s="111">
        <f t="shared" si="13"/>
        <v>31</v>
      </c>
      <c r="B44" s="343" t="s">
        <v>482</v>
      </c>
      <c r="C44" s="346" t="s">
        <v>336</v>
      </c>
      <c r="D44" s="345">
        <v>8.26</v>
      </c>
      <c r="E44" s="162">
        <f t="shared" si="0"/>
        <v>9.91</v>
      </c>
      <c r="G44" s="113">
        <v>0</v>
      </c>
      <c r="H44" s="114">
        <f t="shared" si="1"/>
        <v>0</v>
      </c>
      <c r="I44" s="115">
        <f t="shared" si="2"/>
        <v>0</v>
      </c>
      <c r="J44" s="116"/>
      <c r="K44" s="113">
        <v>0</v>
      </c>
      <c r="L44" s="114">
        <f t="shared" si="3"/>
        <v>0</v>
      </c>
      <c r="M44" s="115">
        <f t="shared" si="4"/>
        <v>0</v>
      </c>
      <c r="O44" s="113">
        <v>0</v>
      </c>
      <c r="P44" s="114">
        <f t="shared" si="5"/>
        <v>0</v>
      </c>
      <c r="Q44" s="115">
        <f t="shared" si="6"/>
        <v>0</v>
      </c>
      <c r="S44" s="113">
        <v>0</v>
      </c>
      <c r="T44" s="114">
        <f t="shared" si="7"/>
        <v>0</v>
      </c>
      <c r="U44" s="115">
        <f t="shared" si="8"/>
        <v>0</v>
      </c>
      <c r="V44" s="116"/>
      <c r="W44" s="113">
        <v>0</v>
      </c>
      <c r="X44" s="114">
        <f t="shared" si="9"/>
        <v>0</v>
      </c>
      <c r="Y44" s="115">
        <f t="shared" si="10"/>
        <v>0</v>
      </c>
      <c r="AA44" s="113">
        <v>0</v>
      </c>
      <c r="AB44" s="114">
        <f t="shared" si="11"/>
        <v>0</v>
      </c>
      <c r="AC44" s="115">
        <f t="shared" si="12"/>
        <v>0</v>
      </c>
    </row>
    <row r="45" spans="1:29" ht="33" customHeight="1" thickBot="1" x14ac:dyDescent="0.3">
      <c r="A45" s="111">
        <f t="shared" si="13"/>
        <v>32</v>
      </c>
      <c r="B45" s="343" t="s">
        <v>483</v>
      </c>
      <c r="C45" s="346" t="s">
        <v>336</v>
      </c>
      <c r="D45" s="345">
        <v>2.87</v>
      </c>
      <c r="E45" s="162">
        <f t="shared" si="0"/>
        <v>3.44</v>
      </c>
      <c r="G45" s="113">
        <v>0</v>
      </c>
      <c r="H45" s="114">
        <f t="shared" si="1"/>
        <v>0</v>
      </c>
      <c r="I45" s="115">
        <f t="shared" si="2"/>
        <v>0</v>
      </c>
      <c r="J45" s="116"/>
      <c r="K45" s="113">
        <v>0</v>
      </c>
      <c r="L45" s="114">
        <f t="shared" si="3"/>
        <v>0</v>
      </c>
      <c r="M45" s="115">
        <f t="shared" si="4"/>
        <v>0</v>
      </c>
      <c r="O45" s="113">
        <v>0</v>
      </c>
      <c r="P45" s="114">
        <f t="shared" si="5"/>
        <v>0</v>
      </c>
      <c r="Q45" s="115">
        <f t="shared" si="6"/>
        <v>0</v>
      </c>
      <c r="S45" s="113">
        <v>0</v>
      </c>
      <c r="T45" s="114">
        <f t="shared" si="7"/>
        <v>0</v>
      </c>
      <c r="U45" s="115">
        <f t="shared" si="8"/>
        <v>0</v>
      </c>
      <c r="V45" s="116"/>
      <c r="W45" s="113">
        <v>0</v>
      </c>
      <c r="X45" s="114">
        <f t="shared" si="9"/>
        <v>0</v>
      </c>
      <c r="Y45" s="115">
        <f t="shared" si="10"/>
        <v>0</v>
      </c>
      <c r="AA45" s="113">
        <v>0</v>
      </c>
      <c r="AB45" s="114">
        <f t="shared" si="11"/>
        <v>0</v>
      </c>
      <c r="AC45" s="115">
        <f t="shared" si="12"/>
        <v>0</v>
      </c>
    </row>
    <row r="46" spans="1:29" ht="33" customHeight="1" thickBot="1" x14ac:dyDescent="0.3">
      <c r="A46" s="111">
        <f t="shared" si="13"/>
        <v>33</v>
      </c>
      <c r="B46" s="343" t="s">
        <v>484</v>
      </c>
      <c r="C46" s="346" t="s">
        <v>336</v>
      </c>
      <c r="D46" s="345">
        <v>2.4700000000000002</v>
      </c>
      <c r="E46" s="162">
        <f t="shared" si="0"/>
        <v>2.96</v>
      </c>
      <c r="G46" s="113">
        <v>0</v>
      </c>
      <c r="H46" s="114">
        <f t="shared" si="1"/>
        <v>0</v>
      </c>
      <c r="I46" s="115">
        <f t="shared" si="2"/>
        <v>0</v>
      </c>
      <c r="J46" s="116"/>
      <c r="K46" s="113">
        <v>0</v>
      </c>
      <c r="L46" s="114">
        <f t="shared" si="3"/>
        <v>0</v>
      </c>
      <c r="M46" s="115">
        <f t="shared" si="4"/>
        <v>0</v>
      </c>
      <c r="O46" s="113">
        <v>0</v>
      </c>
      <c r="P46" s="114">
        <f t="shared" si="5"/>
        <v>0</v>
      </c>
      <c r="Q46" s="115">
        <f t="shared" si="6"/>
        <v>0</v>
      </c>
      <c r="S46" s="113">
        <v>0</v>
      </c>
      <c r="T46" s="114">
        <f t="shared" si="7"/>
        <v>0</v>
      </c>
      <c r="U46" s="115">
        <f t="shared" si="8"/>
        <v>0</v>
      </c>
      <c r="V46" s="116"/>
      <c r="W46" s="113">
        <v>0</v>
      </c>
      <c r="X46" s="114">
        <f t="shared" si="9"/>
        <v>0</v>
      </c>
      <c r="Y46" s="115">
        <f t="shared" si="10"/>
        <v>0</v>
      </c>
      <c r="AA46" s="113">
        <v>0</v>
      </c>
      <c r="AB46" s="114">
        <f t="shared" si="11"/>
        <v>0</v>
      </c>
      <c r="AC46" s="115">
        <f t="shared" si="12"/>
        <v>0</v>
      </c>
    </row>
    <row r="47" spans="1:29" ht="33" customHeight="1" thickBot="1" x14ac:dyDescent="0.3">
      <c r="A47" s="111">
        <f t="shared" si="13"/>
        <v>34</v>
      </c>
      <c r="B47" s="343" t="s">
        <v>337</v>
      </c>
      <c r="C47" s="344" t="s">
        <v>338</v>
      </c>
      <c r="D47" s="345">
        <v>1.21</v>
      </c>
      <c r="E47" s="162">
        <f t="shared" si="0"/>
        <v>1.45</v>
      </c>
      <c r="G47" s="113">
        <v>0</v>
      </c>
      <c r="H47" s="114">
        <f t="shared" si="1"/>
        <v>0</v>
      </c>
      <c r="I47" s="115">
        <f t="shared" si="2"/>
        <v>0</v>
      </c>
      <c r="J47" s="116"/>
      <c r="K47" s="113">
        <v>0</v>
      </c>
      <c r="L47" s="114">
        <f t="shared" si="3"/>
        <v>0</v>
      </c>
      <c r="M47" s="115">
        <f t="shared" si="4"/>
        <v>0</v>
      </c>
      <c r="O47" s="113">
        <v>0</v>
      </c>
      <c r="P47" s="114">
        <f t="shared" si="5"/>
        <v>0</v>
      </c>
      <c r="Q47" s="115">
        <f t="shared" si="6"/>
        <v>0</v>
      </c>
      <c r="S47" s="113">
        <v>0</v>
      </c>
      <c r="T47" s="114">
        <f t="shared" si="7"/>
        <v>0</v>
      </c>
      <c r="U47" s="115">
        <f t="shared" si="8"/>
        <v>0</v>
      </c>
      <c r="V47" s="116"/>
      <c r="W47" s="113">
        <v>0</v>
      </c>
      <c r="X47" s="114">
        <f t="shared" si="9"/>
        <v>0</v>
      </c>
      <c r="Y47" s="115">
        <f t="shared" si="10"/>
        <v>0</v>
      </c>
      <c r="AA47" s="113">
        <v>0</v>
      </c>
      <c r="AB47" s="114">
        <f t="shared" si="11"/>
        <v>0</v>
      </c>
      <c r="AC47" s="115">
        <f t="shared" si="12"/>
        <v>0</v>
      </c>
    </row>
    <row r="48" spans="1:29" ht="33" customHeight="1" thickBot="1" x14ac:dyDescent="0.3">
      <c r="A48" s="111">
        <f t="shared" si="13"/>
        <v>35</v>
      </c>
      <c r="B48" s="343" t="s">
        <v>485</v>
      </c>
      <c r="C48" s="346" t="s">
        <v>336</v>
      </c>
      <c r="D48" s="345">
        <v>3.99</v>
      </c>
      <c r="E48" s="162">
        <f t="shared" si="0"/>
        <v>4.79</v>
      </c>
      <c r="G48" s="113">
        <v>0</v>
      </c>
      <c r="H48" s="114">
        <f t="shared" si="1"/>
        <v>0</v>
      </c>
      <c r="I48" s="115">
        <f t="shared" si="2"/>
        <v>0</v>
      </c>
      <c r="J48" s="116"/>
      <c r="K48" s="113">
        <v>0</v>
      </c>
      <c r="L48" s="114">
        <f t="shared" si="3"/>
        <v>0</v>
      </c>
      <c r="M48" s="115">
        <f t="shared" si="4"/>
        <v>0</v>
      </c>
      <c r="O48" s="113">
        <v>0</v>
      </c>
      <c r="P48" s="114">
        <f t="shared" si="5"/>
        <v>0</v>
      </c>
      <c r="Q48" s="115">
        <f t="shared" si="6"/>
        <v>0</v>
      </c>
      <c r="S48" s="113">
        <v>0</v>
      </c>
      <c r="T48" s="114">
        <f t="shared" si="7"/>
        <v>0</v>
      </c>
      <c r="U48" s="115">
        <f t="shared" si="8"/>
        <v>0</v>
      </c>
      <c r="V48" s="116"/>
      <c r="W48" s="113">
        <v>0</v>
      </c>
      <c r="X48" s="114">
        <f t="shared" si="9"/>
        <v>0</v>
      </c>
      <c r="Y48" s="115">
        <f t="shared" si="10"/>
        <v>0</v>
      </c>
      <c r="AA48" s="113">
        <v>0</v>
      </c>
      <c r="AB48" s="114">
        <f t="shared" si="11"/>
        <v>0</v>
      </c>
      <c r="AC48" s="115">
        <f t="shared" si="12"/>
        <v>0</v>
      </c>
    </row>
    <row r="49" spans="1:29" ht="33" customHeight="1" thickBot="1" x14ac:dyDescent="0.3">
      <c r="A49" s="111">
        <f t="shared" si="13"/>
        <v>36</v>
      </c>
      <c r="B49" s="343" t="s">
        <v>486</v>
      </c>
      <c r="C49" s="346" t="s">
        <v>298</v>
      </c>
      <c r="D49" s="345">
        <v>0.19</v>
      </c>
      <c r="E49" s="162">
        <f t="shared" si="0"/>
        <v>0.23</v>
      </c>
      <c r="G49" s="113">
        <v>0</v>
      </c>
      <c r="H49" s="114">
        <f t="shared" si="1"/>
        <v>0</v>
      </c>
      <c r="I49" s="115">
        <f t="shared" si="2"/>
        <v>0</v>
      </c>
      <c r="J49" s="116"/>
      <c r="K49" s="113">
        <v>0</v>
      </c>
      <c r="L49" s="114">
        <f t="shared" si="3"/>
        <v>0</v>
      </c>
      <c r="M49" s="115">
        <f t="shared" si="4"/>
        <v>0</v>
      </c>
      <c r="O49" s="113">
        <v>0</v>
      </c>
      <c r="P49" s="114">
        <f t="shared" si="5"/>
        <v>0</v>
      </c>
      <c r="Q49" s="115">
        <f t="shared" si="6"/>
        <v>0</v>
      </c>
      <c r="S49" s="113">
        <v>0</v>
      </c>
      <c r="T49" s="114">
        <f t="shared" si="7"/>
        <v>0</v>
      </c>
      <c r="U49" s="115">
        <f t="shared" si="8"/>
        <v>0</v>
      </c>
      <c r="V49" s="116"/>
      <c r="W49" s="113">
        <v>0</v>
      </c>
      <c r="X49" s="114">
        <f t="shared" si="9"/>
        <v>0</v>
      </c>
      <c r="Y49" s="115">
        <f t="shared" si="10"/>
        <v>0</v>
      </c>
      <c r="AA49" s="113">
        <v>0</v>
      </c>
      <c r="AB49" s="114">
        <f t="shared" si="11"/>
        <v>0</v>
      </c>
      <c r="AC49" s="115">
        <f t="shared" si="12"/>
        <v>0</v>
      </c>
    </row>
    <row r="50" spans="1:29" ht="33" customHeight="1" thickBot="1" x14ac:dyDescent="0.3">
      <c r="A50" s="111">
        <f t="shared" si="13"/>
        <v>37</v>
      </c>
      <c r="B50" s="343" t="s">
        <v>339</v>
      </c>
      <c r="C50" s="346" t="s">
        <v>318</v>
      </c>
      <c r="D50" s="345">
        <v>4</v>
      </c>
      <c r="E50" s="162">
        <f t="shared" si="0"/>
        <v>4.8</v>
      </c>
      <c r="G50" s="113">
        <v>0</v>
      </c>
      <c r="H50" s="114">
        <f t="shared" si="1"/>
        <v>0</v>
      </c>
      <c r="I50" s="115">
        <f t="shared" si="2"/>
        <v>0</v>
      </c>
      <c r="J50" s="116"/>
      <c r="K50" s="113">
        <v>0</v>
      </c>
      <c r="L50" s="114">
        <f t="shared" si="3"/>
        <v>0</v>
      </c>
      <c r="M50" s="115">
        <f t="shared" si="4"/>
        <v>0</v>
      </c>
      <c r="O50" s="113">
        <v>0</v>
      </c>
      <c r="P50" s="114">
        <f t="shared" si="5"/>
        <v>0</v>
      </c>
      <c r="Q50" s="115">
        <f t="shared" si="6"/>
        <v>0</v>
      </c>
      <c r="S50" s="113">
        <v>0</v>
      </c>
      <c r="T50" s="114">
        <f t="shared" si="7"/>
        <v>0</v>
      </c>
      <c r="U50" s="115">
        <f t="shared" si="8"/>
        <v>0</v>
      </c>
      <c r="V50" s="116"/>
      <c r="W50" s="113">
        <v>0</v>
      </c>
      <c r="X50" s="114">
        <f t="shared" si="9"/>
        <v>0</v>
      </c>
      <c r="Y50" s="115">
        <f t="shared" si="10"/>
        <v>0</v>
      </c>
      <c r="AA50" s="113">
        <v>0</v>
      </c>
      <c r="AB50" s="114">
        <f t="shared" si="11"/>
        <v>0</v>
      </c>
      <c r="AC50" s="115">
        <f t="shared" si="12"/>
        <v>0</v>
      </c>
    </row>
    <row r="51" spans="1:29" ht="33" customHeight="1" thickBot="1" x14ac:dyDescent="0.3">
      <c r="A51" s="111">
        <f t="shared" si="13"/>
        <v>38</v>
      </c>
      <c r="B51" s="343" t="s">
        <v>340</v>
      </c>
      <c r="C51" s="346" t="s">
        <v>341</v>
      </c>
      <c r="D51" s="345">
        <v>1.82</v>
      </c>
      <c r="E51" s="162">
        <f t="shared" si="0"/>
        <v>2.1800000000000002</v>
      </c>
      <c r="G51" s="113">
        <v>0</v>
      </c>
      <c r="H51" s="114">
        <f t="shared" si="1"/>
        <v>0</v>
      </c>
      <c r="I51" s="115">
        <f t="shared" si="2"/>
        <v>0</v>
      </c>
      <c r="J51" s="116"/>
      <c r="K51" s="113">
        <v>0</v>
      </c>
      <c r="L51" s="114">
        <f t="shared" si="3"/>
        <v>0</v>
      </c>
      <c r="M51" s="115">
        <f t="shared" si="4"/>
        <v>0</v>
      </c>
      <c r="O51" s="113">
        <v>0</v>
      </c>
      <c r="P51" s="114">
        <f t="shared" si="5"/>
        <v>0</v>
      </c>
      <c r="Q51" s="115">
        <f t="shared" si="6"/>
        <v>0</v>
      </c>
      <c r="S51" s="113">
        <v>0</v>
      </c>
      <c r="T51" s="114">
        <f t="shared" si="7"/>
        <v>0</v>
      </c>
      <c r="U51" s="115">
        <f t="shared" si="8"/>
        <v>0</v>
      </c>
      <c r="V51" s="116"/>
      <c r="W51" s="113">
        <v>0</v>
      </c>
      <c r="X51" s="114">
        <f t="shared" si="9"/>
        <v>0</v>
      </c>
      <c r="Y51" s="115">
        <f t="shared" si="10"/>
        <v>0</v>
      </c>
      <c r="AA51" s="113">
        <v>0</v>
      </c>
      <c r="AB51" s="114">
        <f t="shared" si="11"/>
        <v>0</v>
      </c>
      <c r="AC51" s="115">
        <f t="shared" si="12"/>
        <v>0</v>
      </c>
    </row>
    <row r="52" spans="1:29" ht="33" customHeight="1" thickBot="1" x14ac:dyDescent="0.3">
      <c r="A52" s="111">
        <f t="shared" si="13"/>
        <v>39</v>
      </c>
      <c r="B52" s="343" t="s">
        <v>46</v>
      </c>
      <c r="C52" s="346" t="s">
        <v>326</v>
      </c>
      <c r="D52" s="345">
        <v>1.21</v>
      </c>
      <c r="E52" s="162">
        <f t="shared" si="0"/>
        <v>1.45</v>
      </c>
      <c r="G52" s="113">
        <v>0</v>
      </c>
      <c r="H52" s="114">
        <f t="shared" si="1"/>
        <v>0</v>
      </c>
      <c r="I52" s="115">
        <f t="shared" si="2"/>
        <v>0</v>
      </c>
      <c r="J52" s="116"/>
      <c r="K52" s="113">
        <v>0</v>
      </c>
      <c r="L52" s="114">
        <f t="shared" si="3"/>
        <v>0</v>
      </c>
      <c r="M52" s="115">
        <f t="shared" si="4"/>
        <v>0</v>
      </c>
      <c r="O52" s="113">
        <v>0</v>
      </c>
      <c r="P52" s="114">
        <f t="shared" si="5"/>
        <v>0</v>
      </c>
      <c r="Q52" s="115">
        <f t="shared" si="6"/>
        <v>0</v>
      </c>
      <c r="S52" s="113">
        <v>0</v>
      </c>
      <c r="T52" s="114">
        <f t="shared" si="7"/>
        <v>0</v>
      </c>
      <c r="U52" s="115">
        <f t="shared" si="8"/>
        <v>0</v>
      </c>
      <c r="V52" s="116"/>
      <c r="W52" s="113">
        <v>0</v>
      </c>
      <c r="X52" s="114">
        <f t="shared" si="9"/>
        <v>0</v>
      </c>
      <c r="Y52" s="115">
        <f t="shared" si="10"/>
        <v>0</v>
      </c>
      <c r="AA52" s="113">
        <v>0</v>
      </c>
      <c r="AB52" s="114">
        <f t="shared" si="11"/>
        <v>0</v>
      </c>
      <c r="AC52" s="115">
        <f t="shared" si="12"/>
        <v>0</v>
      </c>
    </row>
    <row r="53" spans="1:29" ht="33" customHeight="1" thickBot="1" x14ac:dyDescent="0.3">
      <c r="A53" s="111">
        <f t="shared" si="13"/>
        <v>40</v>
      </c>
      <c r="B53" s="343" t="s">
        <v>342</v>
      </c>
      <c r="C53" s="346" t="s">
        <v>298</v>
      </c>
      <c r="D53" s="345">
        <v>0.12</v>
      </c>
      <c r="E53" s="162">
        <f t="shared" si="0"/>
        <v>0.14000000000000001</v>
      </c>
      <c r="G53" s="113">
        <v>0</v>
      </c>
      <c r="H53" s="114">
        <f t="shared" si="1"/>
        <v>0</v>
      </c>
      <c r="I53" s="115">
        <f t="shared" si="2"/>
        <v>0</v>
      </c>
      <c r="J53" s="116"/>
      <c r="K53" s="113">
        <v>0</v>
      </c>
      <c r="L53" s="114">
        <f t="shared" si="3"/>
        <v>0</v>
      </c>
      <c r="M53" s="115">
        <f t="shared" si="4"/>
        <v>0</v>
      </c>
      <c r="O53" s="113">
        <v>0</v>
      </c>
      <c r="P53" s="114">
        <f t="shared" si="5"/>
        <v>0</v>
      </c>
      <c r="Q53" s="115">
        <f t="shared" si="6"/>
        <v>0</v>
      </c>
      <c r="S53" s="113">
        <v>0</v>
      </c>
      <c r="T53" s="114">
        <f t="shared" si="7"/>
        <v>0</v>
      </c>
      <c r="U53" s="115">
        <f t="shared" si="8"/>
        <v>0</v>
      </c>
      <c r="V53" s="116"/>
      <c r="W53" s="113">
        <v>0</v>
      </c>
      <c r="X53" s="114">
        <f t="shared" si="9"/>
        <v>0</v>
      </c>
      <c r="Y53" s="115">
        <f t="shared" si="10"/>
        <v>0</v>
      </c>
      <c r="AA53" s="113">
        <v>0</v>
      </c>
      <c r="AB53" s="114">
        <f t="shared" si="11"/>
        <v>0</v>
      </c>
      <c r="AC53" s="115">
        <f t="shared" si="12"/>
        <v>0</v>
      </c>
    </row>
    <row r="54" spans="1:29" ht="33" customHeight="1" thickBot="1" x14ac:dyDescent="0.3">
      <c r="A54" s="111">
        <f t="shared" si="13"/>
        <v>41</v>
      </c>
      <c r="B54" s="343" t="s">
        <v>343</v>
      </c>
      <c r="C54" s="346" t="s">
        <v>298</v>
      </c>
      <c r="D54" s="345">
        <v>0.36</v>
      </c>
      <c r="E54" s="162">
        <f t="shared" si="0"/>
        <v>0.43</v>
      </c>
      <c r="G54" s="113">
        <v>0</v>
      </c>
      <c r="H54" s="114">
        <f t="shared" si="1"/>
        <v>0</v>
      </c>
      <c r="I54" s="115">
        <f t="shared" si="2"/>
        <v>0</v>
      </c>
      <c r="J54" s="116"/>
      <c r="K54" s="113">
        <v>0</v>
      </c>
      <c r="L54" s="114">
        <f t="shared" si="3"/>
        <v>0</v>
      </c>
      <c r="M54" s="115">
        <f t="shared" si="4"/>
        <v>0</v>
      </c>
      <c r="O54" s="113">
        <v>0</v>
      </c>
      <c r="P54" s="114">
        <f t="shared" si="5"/>
        <v>0</v>
      </c>
      <c r="Q54" s="115">
        <f t="shared" si="6"/>
        <v>0</v>
      </c>
      <c r="S54" s="113">
        <v>0</v>
      </c>
      <c r="T54" s="114">
        <f t="shared" si="7"/>
        <v>0</v>
      </c>
      <c r="U54" s="115">
        <f t="shared" si="8"/>
        <v>0</v>
      </c>
      <c r="V54" s="116"/>
      <c r="W54" s="113">
        <v>0</v>
      </c>
      <c r="X54" s="114">
        <f t="shared" si="9"/>
        <v>0</v>
      </c>
      <c r="Y54" s="115">
        <f t="shared" si="10"/>
        <v>0</v>
      </c>
      <c r="AA54" s="113">
        <v>0</v>
      </c>
      <c r="AB54" s="114">
        <f t="shared" si="11"/>
        <v>0</v>
      </c>
      <c r="AC54" s="115">
        <f t="shared" si="12"/>
        <v>0</v>
      </c>
    </row>
    <row r="55" spans="1:29" ht="33" customHeight="1" thickBot="1" x14ac:dyDescent="0.3">
      <c r="A55" s="111">
        <f t="shared" si="13"/>
        <v>42</v>
      </c>
      <c r="B55" s="343" t="s">
        <v>344</v>
      </c>
      <c r="C55" s="344" t="s">
        <v>345</v>
      </c>
      <c r="D55" s="345">
        <v>1.21</v>
      </c>
      <c r="E55" s="162">
        <f t="shared" si="0"/>
        <v>1.45</v>
      </c>
      <c r="G55" s="113">
        <v>0</v>
      </c>
      <c r="H55" s="114">
        <f t="shared" si="1"/>
        <v>0</v>
      </c>
      <c r="I55" s="115">
        <f t="shared" si="2"/>
        <v>0</v>
      </c>
      <c r="J55" s="116"/>
      <c r="K55" s="113">
        <v>0</v>
      </c>
      <c r="L55" s="114">
        <f t="shared" si="3"/>
        <v>0</v>
      </c>
      <c r="M55" s="115">
        <f t="shared" si="4"/>
        <v>0</v>
      </c>
      <c r="O55" s="113">
        <v>0</v>
      </c>
      <c r="P55" s="114">
        <f t="shared" si="5"/>
        <v>0</v>
      </c>
      <c r="Q55" s="115">
        <f t="shared" si="6"/>
        <v>0</v>
      </c>
      <c r="S55" s="113">
        <v>0</v>
      </c>
      <c r="T55" s="114">
        <f t="shared" si="7"/>
        <v>0</v>
      </c>
      <c r="U55" s="115">
        <f t="shared" si="8"/>
        <v>0</v>
      </c>
      <c r="V55" s="116"/>
      <c r="W55" s="113">
        <v>0</v>
      </c>
      <c r="X55" s="114">
        <f t="shared" si="9"/>
        <v>0</v>
      </c>
      <c r="Y55" s="115">
        <f t="shared" si="10"/>
        <v>0</v>
      </c>
      <c r="AA55" s="113">
        <v>0</v>
      </c>
      <c r="AB55" s="114">
        <f t="shared" si="11"/>
        <v>0</v>
      </c>
      <c r="AC55" s="115">
        <f t="shared" si="12"/>
        <v>0</v>
      </c>
    </row>
    <row r="56" spans="1:29" ht="33" customHeight="1" thickBot="1" x14ac:dyDescent="0.3">
      <c r="A56" s="111">
        <f t="shared" si="13"/>
        <v>43</v>
      </c>
      <c r="B56" s="343" t="s">
        <v>346</v>
      </c>
      <c r="C56" s="346" t="s">
        <v>298</v>
      </c>
      <c r="D56" s="345">
        <v>3.78</v>
      </c>
      <c r="E56" s="162">
        <f t="shared" si="0"/>
        <v>4.54</v>
      </c>
      <c r="G56" s="113">
        <v>0</v>
      </c>
      <c r="H56" s="114">
        <f t="shared" si="1"/>
        <v>0</v>
      </c>
      <c r="I56" s="115">
        <f t="shared" si="2"/>
        <v>0</v>
      </c>
      <c r="J56" s="116"/>
      <c r="K56" s="113">
        <v>0</v>
      </c>
      <c r="L56" s="114">
        <f t="shared" si="3"/>
        <v>0</v>
      </c>
      <c r="M56" s="115">
        <f t="shared" si="4"/>
        <v>0</v>
      </c>
      <c r="O56" s="113">
        <v>0</v>
      </c>
      <c r="P56" s="114">
        <f t="shared" si="5"/>
        <v>0</v>
      </c>
      <c r="Q56" s="115">
        <f t="shared" si="6"/>
        <v>0</v>
      </c>
      <c r="S56" s="113">
        <v>0</v>
      </c>
      <c r="T56" s="114">
        <f t="shared" si="7"/>
        <v>0</v>
      </c>
      <c r="U56" s="115">
        <f t="shared" si="8"/>
        <v>0</v>
      </c>
      <c r="V56" s="116"/>
      <c r="W56" s="113">
        <v>0</v>
      </c>
      <c r="X56" s="114">
        <f t="shared" si="9"/>
        <v>0</v>
      </c>
      <c r="Y56" s="115">
        <f t="shared" si="10"/>
        <v>0</v>
      </c>
      <c r="AA56" s="113">
        <v>0</v>
      </c>
      <c r="AB56" s="114">
        <f t="shared" si="11"/>
        <v>0</v>
      </c>
      <c r="AC56" s="115">
        <f t="shared" si="12"/>
        <v>0</v>
      </c>
    </row>
    <row r="57" spans="1:29" ht="33" customHeight="1" thickBot="1" x14ac:dyDescent="0.3">
      <c r="A57" s="111">
        <f t="shared" si="13"/>
        <v>44</v>
      </c>
      <c r="B57" s="343" t="s">
        <v>347</v>
      </c>
      <c r="C57" s="346" t="s">
        <v>298</v>
      </c>
      <c r="D57" s="345">
        <v>0.53</v>
      </c>
      <c r="E57" s="162">
        <f t="shared" si="0"/>
        <v>0.64</v>
      </c>
      <c r="G57" s="113">
        <v>0</v>
      </c>
      <c r="H57" s="114">
        <f t="shared" si="1"/>
        <v>0</v>
      </c>
      <c r="I57" s="115">
        <f t="shared" si="2"/>
        <v>0</v>
      </c>
      <c r="J57" s="116"/>
      <c r="K57" s="113">
        <v>0</v>
      </c>
      <c r="L57" s="114">
        <f t="shared" si="3"/>
        <v>0</v>
      </c>
      <c r="M57" s="115">
        <f t="shared" si="4"/>
        <v>0</v>
      </c>
      <c r="O57" s="113">
        <v>0</v>
      </c>
      <c r="P57" s="114">
        <f t="shared" si="5"/>
        <v>0</v>
      </c>
      <c r="Q57" s="115">
        <f t="shared" si="6"/>
        <v>0</v>
      </c>
      <c r="S57" s="113">
        <v>0</v>
      </c>
      <c r="T57" s="114">
        <f t="shared" si="7"/>
        <v>0</v>
      </c>
      <c r="U57" s="115">
        <f t="shared" si="8"/>
        <v>0</v>
      </c>
      <c r="V57" s="116"/>
      <c r="W57" s="113">
        <v>0</v>
      </c>
      <c r="X57" s="114">
        <f t="shared" si="9"/>
        <v>0</v>
      </c>
      <c r="Y57" s="115">
        <f t="shared" si="10"/>
        <v>0</v>
      </c>
      <c r="AA57" s="113">
        <v>0</v>
      </c>
      <c r="AB57" s="114">
        <f t="shared" si="11"/>
        <v>0</v>
      </c>
      <c r="AC57" s="115">
        <f t="shared" si="12"/>
        <v>0</v>
      </c>
    </row>
    <row r="58" spans="1:29" ht="33" customHeight="1" thickBot="1" x14ac:dyDescent="0.3">
      <c r="A58" s="111">
        <f t="shared" si="13"/>
        <v>45</v>
      </c>
      <c r="B58" s="343" t="s">
        <v>348</v>
      </c>
      <c r="C58" s="346" t="s">
        <v>349</v>
      </c>
      <c r="D58" s="345">
        <v>9.1</v>
      </c>
      <c r="E58" s="162">
        <f t="shared" si="0"/>
        <v>10.92</v>
      </c>
      <c r="G58" s="113">
        <v>0</v>
      </c>
      <c r="H58" s="114">
        <f t="shared" si="1"/>
        <v>0</v>
      </c>
      <c r="I58" s="115">
        <f t="shared" si="2"/>
        <v>0</v>
      </c>
      <c r="J58" s="116"/>
      <c r="K58" s="113">
        <v>0</v>
      </c>
      <c r="L58" s="114">
        <f t="shared" si="3"/>
        <v>0</v>
      </c>
      <c r="M58" s="115">
        <f t="shared" si="4"/>
        <v>0</v>
      </c>
      <c r="O58" s="113">
        <v>0</v>
      </c>
      <c r="P58" s="114">
        <f t="shared" si="5"/>
        <v>0</v>
      </c>
      <c r="Q58" s="115">
        <f t="shared" si="6"/>
        <v>0</v>
      </c>
      <c r="S58" s="113">
        <v>0</v>
      </c>
      <c r="T58" s="114">
        <f t="shared" si="7"/>
        <v>0</v>
      </c>
      <c r="U58" s="115">
        <f t="shared" si="8"/>
        <v>0</v>
      </c>
      <c r="V58" s="116"/>
      <c r="W58" s="113">
        <v>0</v>
      </c>
      <c r="X58" s="114">
        <f t="shared" si="9"/>
        <v>0</v>
      </c>
      <c r="Y58" s="115">
        <f t="shared" si="10"/>
        <v>0</v>
      </c>
      <c r="AA58" s="113">
        <v>0</v>
      </c>
      <c r="AB58" s="114">
        <f t="shared" si="11"/>
        <v>0</v>
      </c>
      <c r="AC58" s="115">
        <f t="shared" si="12"/>
        <v>0</v>
      </c>
    </row>
    <row r="59" spans="1:29" ht="33" customHeight="1" thickBot="1" x14ac:dyDescent="0.3">
      <c r="A59" s="111">
        <f t="shared" si="13"/>
        <v>46</v>
      </c>
      <c r="B59" s="343" t="s">
        <v>350</v>
      </c>
      <c r="C59" s="346" t="s">
        <v>349</v>
      </c>
      <c r="D59" s="345">
        <v>7.28</v>
      </c>
      <c r="E59" s="162">
        <f t="shared" si="0"/>
        <v>8.74</v>
      </c>
      <c r="G59" s="113">
        <v>0</v>
      </c>
      <c r="H59" s="114">
        <f t="shared" si="1"/>
        <v>0</v>
      </c>
      <c r="I59" s="115">
        <f t="shared" si="2"/>
        <v>0</v>
      </c>
      <c r="J59" s="116"/>
      <c r="K59" s="113">
        <v>0</v>
      </c>
      <c r="L59" s="114">
        <f t="shared" si="3"/>
        <v>0</v>
      </c>
      <c r="M59" s="115">
        <f t="shared" si="4"/>
        <v>0</v>
      </c>
      <c r="O59" s="113">
        <v>0</v>
      </c>
      <c r="P59" s="114">
        <f t="shared" si="5"/>
        <v>0</v>
      </c>
      <c r="Q59" s="115">
        <f t="shared" si="6"/>
        <v>0</v>
      </c>
      <c r="S59" s="113">
        <v>0</v>
      </c>
      <c r="T59" s="114">
        <f t="shared" si="7"/>
        <v>0</v>
      </c>
      <c r="U59" s="115">
        <f t="shared" si="8"/>
        <v>0</v>
      </c>
      <c r="V59" s="116"/>
      <c r="W59" s="113">
        <v>0</v>
      </c>
      <c r="X59" s="114">
        <f t="shared" si="9"/>
        <v>0</v>
      </c>
      <c r="Y59" s="115">
        <f t="shared" si="10"/>
        <v>0</v>
      </c>
      <c r="AA59" s="113">
        <v>0</v>
      </c>
      <c r="AB59" s="114">
        <f t="shared" si="11"/>
        <v>0</v>
      </c>
      <c r="AC59" s="115">
        <f t="shared" si="12"/>
        <v>0</v>
      </c>
    </row>
    <row r="60" spans="1:29" ht="33" customHeight="1" thickBot="1" x14ac:dyDescent="0.3">
      <c r="A60" s="111">
        <f t="shared" si="13"/>
        <v>47</v>
      </c>
      <c r="B60" s="343" t="s">
        <v>351</v>
      </c>
      <c r="C60" s="347" t="s">
        <v>349</v>
      </c>
      <c r="D60" s="345">
        <v>5.2</v>
      </c>
      <c r="E60" s="162">
        <f t="shared" si="0"/>
        <v>6.24</v>
      </c>
      <c r="G60" s="113">
        <v>0</v>
      </c>
      <c r="H60" s="114">
        <f t="shared" si="1"/>
        <v>0</v>
      </c>
      <c r="I60" s="115">
        <f t="shared" si="2"/>
        <v>0</v>
      </c>
      <c r="J60" s="116"/>
      <c r="K60" s="113">
        <v>0</v>
      </c>
      <c r="L60" s="114">
        <f t="shared" si="3"/>
        <v>0</v>
      </c>
      <c r="M60" s="115">
        <f t="shared" si="4"/>
        <v>0</v>
      </c>
      <c r="O60" s="113">
        <v>0</v>
      </c>
      <c r="P60" s="114">
        <f t="shared" si="5"/>
        <v>0</v>
      </c>
      <c r="Q60" s="115">
        <f t="shared" si="6"/>
        <v>0</v>
      </c>
      <c r="S60" s="113">
        <v>0</v>
      </c>
      <c r="T60" s="114">
        <f t="shared" si="7"/>
        <v>0</v>
      </c>
      <c r="U60" s="115">
        <f t="shared" si="8"/>
        <v>0</v>
      </c>
      <c r="V60" s="116"/>
      <c r="W60" s="113">
        <v>0</v>
      </c>
      <c r="X60" s="114">
        <f t="shared" si="9"/>
        <v>0</v>
      </c>
      <c r="Y60" s="115">
        <f t="shared" si="10"/>
        <v>0</v>
      </c>
      <c r="AA60" s="113">
        <v>0</v>
      </c>
      <c r="AB60" s="114">
        <f t="shared" si="11"/>
        <v>0</v>
      </c>
      <c r="AC60" s="115">
        <f t="shared" si="12"/>
        <v>0</v>
      </c>
    </row>
    <row r="61" spans="1:29" ht="33" customHeight="1" thickBot="1" x14ac:dyDescent="0.3">
      <c r="A61" s="111">
        <f t="shared" si="13"/>
        <v>48</v>
      </c>
      <c r="B61" s="343" t="s">
        <v>352</v>
      </c>
      <c r="C61" s="346" t="s">
        <v>336</v>
      </c>
      <c r="D61" s="345">
        <v>18.190000000000001</v>
      </c>
      <c r="E61" s="162">
        <f t="shared" si="0"/>
        <v>21.83</v>
      </c>
      <c r="G61" s="113">
        <v>0</v>
      </c>
      <c r="H61" s="114">
        <f t="shared" si="1"/>
        <v>0</v>
      </c>
      <c r="I61" s="115">
        <f t="shared" si="2"/>
        <v>0</v>
      </c>
      <c r="J61" s="116"/>
      <c r="K61" s="113">
        <v>0</v>
      </c>
      <c r="L61" s="114">
        <f t="shared" si="3"/>
        <v>0</v>
      </c>
      <c r="M61" s="115">
        <f t="shared" si="4"/>
        <v>0</v>
      </c>
      <c r="O61" s="113">
        <v>0</v>
      </c>
      <c r="P61" s="114">
        <f t="shared" si="5"/>
        <v>0</v>
      </c>
      <c r="Q61" s="115">
        <f t="shared" si="6"/>
        <v>0</v>
      </c>
      <c r="S61" s="113">
        <v>0</v>
      </c>
      <c r="T61" s="114">
        <f t="shared" si="7"/>
        <v>0</v>
      </c>
      <c r="U61" s="115">
        <f t="shared" si="8"/>
        <v>0</v>
      </c>
      <c r="V61" s="116"/>
      <c r="W61" s="113">
        <v>0</v>
      </c>
      <c r="X61" s="114">
        <f t="shared" si="9"/>
        <v>0</v>
      </c>
      <c r="Y61" s="115">
        <f t="shared" si="10"/>
        <v>0</v>
      </c>
      <c r="AA61" s="113">
        <v>0</v>
      </c>
      <c r="AB61" s="114">
        <f t="shared" si="11"/>
        <v>0</v>
      </c>
      <c r="AC61" s="115">
        <f t="shared" si="12"/>
        <v>0</v>
      </c>
    </row>
    <row r="62" spans="1:29" ht="33" customHeight="1" thickBot="1" x14ac:dyDescent="0.3">
      <c r="A62" s="111">
        <f t="shared" si="13"/>
        <v>49</v>
      </c>
      <c r="B62" s="343" t="s">
        <v>353</v>
      </c>
      <c r="C62" s="346" t="s">
        <v>354</v>
      </c>
      <c r="D62" s="345">
        <v>15.5</v>
      </c>
      <c r="E62" s="162">
        <f t="shared" si="0"/>
        <v>18.600000000000001</v>
      </c>
      <c r="G62" s="113">
        <v>0</v>
      </c>
      <c r="H62" s="114">
        <f t="shared" si="1"/>
        <v>0</v>
      </c>
      <c r="I62" s="115">
        <f t="shared" si="2"/>
        <v>0</v>
      </c>
      <c r="J62" s="116"/>
      <c r="K62" s="113">
        <v>0</v>
      </c>
      <c r="L62" s="114">
        <f t="shared" si="3"/>
        <v>0</v>
      </c>
      <c r="M62" s="115">
        <f t="shared" si="4"/>
        <v>0</v>
      </c>
      <c r="O62" s="113">
        <v>0</v>
      </c>
      <c r="P62" s="114">
        <f t="shared" si="5"/>
        <v>0</v>
      </c>
      <c r="Q62" s="115">
        <f t="shared" si="6"/>
        <v>0</v>
      </c>
      <c r="S62" s="113">
        <v>0</v>
      </c>
      <c r="T62" s="114">
        <f t="shared" si="7"/>
        <v>0</v>
      </c>
      <c r="U62" s="115">
        <f t="shared" si="8"/>
        <v>0</v>
      </c>
      <c r="V62" s="116"/>
      <c r="W62" s="113">
        <v>0</v>
      </c>
      <c r="X62" s="114">
        <f t="shared" si="9"/>
        <v>0</v>
      </c>
      <c r="Y62" s="115">
        <f t="shared" si="10"/>
        <v>0</v>
      </c>
      <c r="AA62" s="113">
        <v>0</v>
      </c>
      <c r="AB62" s="114">
        <f t="shared" si="11"/>
        <v>0</v>
      </c>
      <c r="AC62" s="115">
        <f t="shared" si="12"/>
        <v>0</v>
      </c>
    </row>
    <row r="63" spans="1:29" ht="33" customHeight="1" thickBot="1" x14ac:dyDescent="0.3">
      <c r="A63" s="111">
        <f t="shared" si="13"/>
        <v>50</v>
      </c>
      <c r="B63" s="343" t="s">
        <v>355</v>
      </c>
      <c r="C63" s="346" t="s">
        <v>336</v>
      </c>
      <c r="D63" s="345">
        <v>3.03</v>
      </c>
      <c r="E63" s="162">
        <f t="shared" si="0"/>
        <v>3.64</v>
      </c>
      <c r="G63" s="113">
        <v>0</v>
      </c>
      <c r="H63" s="114">
        <f t="shared" si="1"/>
        <v>0</v>
      </c>
      <c r="I63" s="115">
        <f t="shared" si="2"/>
        <v>0</v>
      </c>
      <c r="J63" s="116"/>
      <c r="K63" s="113">
        <v>0</v>
      </c>
      <c r="L63" s="114">
        <f t="shared" si="3"/>
        <v>0</v>
      </c>
      <c r="M63" s="115">
        <f t="shared" si="4"/>
        <v>0</v>
      </c>
      <c r="O63" s="113">
        <v>0</v>
      </c>
      <c r="P63" s="114">
        <f t="shared" si="5"/>
        <v>0</v>
      </c>
      <c r="Q63" s="115">
        <f t="shared" si="6"/>
        <v>0</v>
      </c>
      <c r="S63" s="113">
        <v>0</v>
      </c>
      <c r="T63" s="114">
        <f t="shared" si="7"/>
        <v>0</v>
      </c>
      <c r="U63" s="115">
        <f t="shared" si="8"/>
        <v>0</v>
      </c>
      <c r="V63" s="116"/>
      <c r="W63" s="113">
        <v>0</v>
      </c>
      <c r="X63" s="114">
        <f t="shared" si="9"/>
        <v>0</v>
      </c>
      <c r="Y63" s="115">
        <f t="shared" si="10"/>
        <v>0</v>
      </c>
      <c r="AA63" s="113">
        <v>0</v>
      </c>
      <c r="AB63" s="114">
        <f t="shared" si="11"/>
        <v>0</v>
      </c>
      <c r="AC63" s="115">
        <f t="shared" si="12"/>
        <v>0</v>
      </c>
    </row>
    <row r="64" spans="1:29" ht="33" customHeight="1" thickBot="1" x14ac:dyDescent="0.3">
      <c r="A64" s="111">
        <f t="shared" si="13"/>
        <v>51</v>
      </c>
      <c r="B64" s="343" t="s">
        <v>356</v>
      </c>
      <c r="C64" s="346" t="s">
        <v>336</v>
      </c>
      <c r="D64" s="345">
        <v>8.85</v>
      </c>
      <c r="E64" s="162">
        <f t="shared" si="0"/>
        <v>10.62</v>
      </c>
      <c r="G64" s="113">
        <v>0</v>
      </c>
      <c r="H64" s="114">
        <f t="shared" si="1"/>
        <v>0</v>
      </c>
      <c r="I64" s="115">
        <f t="shared" si="2"/>
        <v>0</v>
      </c>
      <c r="J64" s="116"/>
      <c r="K64" s="113">
        <v>0</v>
      </c>
      <c r="L64" s="114">
        <f t="shared" si="3"/>
        <v>0</v>
      </c>
      <c r="M64" s="115">
        <f t="shared" si="4"/>
        <v>0</v>
      </c>
      <c r="O64" s="113">
        <v>0</v>
      </c>
      <c r="P64" s="114">
        <f t="shared" si="5"/>
        <v>0</v>
      </c>
      <c r="Q64" s="115">
        <f t="shared" si="6"/>
        <v>0</v>
      </c>
      <c r="S64" s="113">
        <v>0</v>
      </c>
      <c r="T64" s="114">
        <f t="shared" si="7"/>
        <v>0</v>
      </c>
      <c r="U64" s="115">
        <f t="shared" si="8"/>
        <v>0</v>
      </c>
      <c r="V64" s="116"/>
      <c r="W64" s="113">
        <v>0</v>
      </c>
      <c r="X64" s="114">
        <f t="shared" si="9"/>
        <v>0</v>
      </c>
      <c r="Y64" s="115">
        <f t="shared" si="10"/>
        <v>0</v>
      </c>
      <c r="AA64" s="113">
        <v>0</v>
      </c>
      <c r="AB64" s="114">
        <f t="shared" si="11"/>
        <v>0</v>
      </c>
      <c r="AC64" s="115">
        <f t="shared" si="12"/>
        <v>0</v>
      </c>
    </row>
    <row r="65" spans="1:29" ht="33" customHeight="1" thickBot="1" x14ac:dyDescent="0.3">
      <c r="A65" s="111">
        <f t="shared" si="13"/>
        <v>52</v>
      </c>
      <c r="B65" s="343" t="s">
        <v>357</v>
      </c>
      <c r="C65" s="346" t="s">
        <v>358</v>
      </c>
      <c r="D65" s="345">
        <v>0.96</v>
      </c>
      <c r="E65" s="162">
        <f t="shared" si="0"/>
        <v>1.1499999999999999</v>
      </c>
      <c r="G65" s="113">
        <v>0</v>
      </c>
      <c r="H65" s="114">
        <f t="shared" si="1"/>
        <v>0</v>
      </c>
      <c r="I65" s="115">
        <f t="shared" si="2"/>
        <v>0</v>
      </c>
      <c r="J65" s="116"/>
      <c r="K65" s="113">
        <v>0</v>
      </c>
      <c r="L65" s="114">
        <f t="shared" si="3"/>
        <v>0</v>
      </c>
      <c r="M65" s="115">
        <f t="shared" si="4"/>
        <v>0</v>
      </c>
      <c r="O65" s="113">
        <v>0</v>
      </c>
      <c r="P65" s="114">
        <f t="shared" si="5"/>
        <v>0</v>
      </c>
      <c r="Q65" s="115">
        <f t="shared" si="6"/>
        <v>0</v>
      </c>
      <c r="S65" s="113">
        <v>0</v>
      </c>
      <c r="T65" s="114">
        <f t="shared" si="7"/>
        <v>0</v>
      </c>
      <c r="U65" s="115">
        <f t="shared" si="8"/>
        <v>0</v>
      </c>
      <c r="V65" s="116"/>
      <c r="W65" s="113">
        <v>0</v>
      </c>
      <c r="X65" s="114">
        <f t="shared" si="9"/>
        <v>0</v>
      </c>
      <c r="Y65" s="115">
        <f t="shared" si="10"/>
        <v>0</v>
      </c>
      <c r="AA65" s="113">
        <v>0</v>
      </c>
      <c r="AB65" s="114">
        <f t="shared" si="11"/>
        <v>0</v>
      </c>
      <c r="AC65" s="115">
        <f t="shared" si="12"/>
        <v>0</v>
      </c>
    </row>
    <row r="66" spans="1:29" ht="33" customHeight="1" thickBot="1" x14ac:dyDescent="0.3">
      <c r="A66" s="111">
        <f t="shared" si="13"/>
        <v>53</v>
      </c>
      <c r="B66" s="343" t="s">
        <v>359</v>
      </c>
      <c r="C66" s="346" t="s">
        <v>360</v>
      </c>
      <c r="D66" s="345">
        <v>364.91</v>
      </c>
      <c r="E66" s="162">
        <f t="shared" si="0"/>
        <v>437.89</v>
      </c>
      <c r="G66" s="113">
        <v>0</v>
      </c>
      <c r="H66" s="114">
        <f t="shared" si="1"/>
        <v>0</v>
      </c>
      <c r="I66" s="115">
        <f t="shared" si="2"/>
        <v>0</v>
      </c>
      <c r="J66" s="116"/>
      <c r="K66" s="113">
        <v>0</v>
      </c>
      <c r="L66" s="114">
        <f t="shared" si="3"/>
        <v>0</v>
      </c>
      <c r="M66" s="115">
        <f t="shared" si="4"/>
        <v>0</v>
      </c>
      <c r="O66" s="113">
        <v>0</v>
      </c>
      <c r="P66" s="114">
        <f t="shared" si="5"/>
        <v>0</v>
      </c>
      <c r="Q66" s="115">
        <f t="shared" si="6"/>
        <v>0</v>
      </c>
      <c r="S66" s="113">
        <v>0</v>
      </c>
      <c r="T66" s="114">
        <f t="shared" si="7"/>
        <v>0</v>
      </c>
      <c r="U66" s="115">
        <f t="shared" si="8"/>
        <v>0</v>
      </c>
      <c r="V66" s="116"/>
      <c r="W66" s="113">
        <v>0</v>
      </c>
      <c r="X66" s="114">
        <f t="shared" si="9"/>
        <v>0</v>
      </c>
      <c r="Y66" s="115">
        <f t="shared" si="10"/>
        <v>0</v>
      </c>
      <c r="AA66" s="113">
        <v>0</v>
      </c>
      <c r="AB66" s="114">
        <f t="shared" si="11"/>
        <v>0</v>
      </c>
      <c r="AC66" s="115">
        <f t="shared" si="12"/>
        <v>0</v>
      </c>
    </row>
    <row r="67" spans="1:29" ht="33" customHeight="1" thickBot="1" x14ac:dyDescent="0.3">
      <c r="A67" s="111">
        <f>A66+1</f>
        <v>54</v>
      </c>
      <c r="B67" s="348" t="s">
        <v>361</v>
      </c>
      <c r="C67" s="163" t="s">
        <v>362</v>
      </c>
      <c r="D67" s="345">
        <v>0</v>
      </c>
      <c r="E67" s="162">
        <f t="shared" si="0"/>
        <v>0</v>
      </c>
      <c r="G67" s="113">
        <v>0</v>
      </c>
      <c r="H67" s="114">
        <f t="shared" si="1"/>
        <v>0</v>
      </c>
      <c r="I67" s="115">
        <f t="shared" si="2"/>
        <v>0</v>
      </c>
      <c r="J67" s="116"/>
      <c r="K67" s="113">
        <v>0</v>
      </c>
      <c r="L67" s="114">
        <f t="shared" si="3"/>
        <v>0</v>
      </c>
      <c r="M67" s="115">
        <f t="shared" si="4"/>
        <v>0</v>
      </c>
      <c r="O67" s="113">
        <v>0</v>
      </c>
      <c r="P67" s="114">
        <f t="shared" si="5"/>
        <v>0</v>
      </c>
      <c r="Q67" s="115">
        <f t="shared" si="6"/>
        <v>0</v>
      </c>
      <c r="S67" s="113">
        <v>0</v>
      </c>
      <c r="T67" s="114">
        <f t="shared" si="7"/>
        <v>0</v>
      </c>
      <c r="U67" s="115">
        <f t="shared" si="8"/>
        <v>0</v>
      </c>
      <c r="V67" s="116"/>
      <c r="W67" s="113">
        <v>0</v>
      </c>
      <c r="X67" s="114">
        <f t="shared" si="9"/>
        <v>0</v>
      </c>
      <c r="Y67" s="115">
        <f t="shared" si="10"/>
        <v>0</v>
      </c>
      <c r="AA67" s="113">
        <v>0</v>
      </c>
      <c r="AB67" s="114">
        <f t="shared" si="11"/>
        <v>0</v>
      </c>
      <c r="AC67" s="115">
        <f t="shared" si="12"/>
        <v>0</v>
      </c>
    </row>
    <row r="68" spans="1:29" ht="33" customHeight="1" thickBot="1" x14ac:dyDescent="0.3">
      <c r="A68" s="111">
        <f>A67+1</f>
        <v>55</v>
      </c>
      <c r="B68" s="349" t="s">
        <v>440</v>
      </c>
      <c r="C68" s="163" t="s">
        <v>362</v>
      </c>
      <c r="D68" s="345">
        <v>0</v>
      </c>
      <c r="E68" s="162">
        <f t="shared" si="0"/>
        <v>0</v>
      </c>
      <c r="G68" s="113">
        <v>0</v>
      </c>
      <c r="H68" s="114">
        <f t="shared" si="1"/>
        <v>0</v>
      </c>
      <c r="I68" s="115">
        <f t="shared" si="2"/>
        <v>0</v>
      </c>
      <c r="J68" s="116"/>
      <c r="K68" s="113">
        <v>0</v>
      </c>
      <c r="L68" s="114">
        <f t="shared" si="3"/>
        <v>0</v>
      </c>
      <c r="M68" s="115">
        <f t="shared" si="4"/>
        <v>0</v>
      </c>
      <c r="O68" s="113">
        <v>0</v>
      </c>
      <c r="P68" s="114">
        <f t="shared" si="5"/>
        <v>0</v>
      </c>
      <c r="Q68" s="115">
        <f t="shared" si="6"/>
        <v>0</v>
      </c>
      <c r="S68" s="113">
        <v>0</v>
      </c>
      <c r="T68" s="114">
        <f t="shared" si="7"/>
        <v>0</v>
      </c>
      <c r="U68" s="115">
        <f t="shared" si="8"/>
        <v>0</v>
      </c>
      <c r="V68" s="116"/>
      <c r="W68" s="113">
        <v>0</v>
      </c>
      <c r="X68" s="114">
        <f t="shared" si="9"/>
        <v>0</v>
      </c>
      <c r="Y68" s="115">
        <f t="shared" si="10"/>
        <v>0</v>
      </c>
      <c r="AA68" s="113">
        <v>0</v>
      </c>
      <c r="AB68" s="114">
        <f t="shared" si="11"/>
        <v>0</v>
      </c>
      <c r="AC68" s="115">
        <f t="shared" si="12"/>
        <v>0</v>
      </c>
    </row>
    <row r="69" spans="1:29" ht="18" customHeight="1" x14ac:dyDescent="0.25"/>
    <row r="71" spans="1:29" ht="13" thickBot="1" x14ac:dyDescent="0.3"/>
    <row r="72" spans="1:29" ht="33" customHeight="1" thickBot="1" x14ac:dyDescent="0.45">
      <c r="B72" s="164" t="s">
        <v>364</v>
      </c>
      <c r="C72" s="165"/>
      <c r="D72" s="166"/>
      <c r="E72" s="167"/>
      <c r="F72" s="168"/>
      <c r="G72" s="168"/>
      <c r="H72" s="168"/>
      <c r="I72" s="168"/>
      <c r="J72" s="168"/>
      <c r="K72" s="168"/>
      <c r="L72" s="168"/>
    </row>
    <row r="73" spans="1:29" ht="33" customHeight="1" thickBot="1" x14ac:dyDescent="0.45">
      <c r="B73" s="169"/>
      <c r="C73" s="170"/>
      <c r="D73" s="168"/>
      <c r="E73" s="168"/>
      <c r="F73" s="168"/>
      <c r="G73" s="168"/>
      <c r="H73" s="168"/>
      <c r="I73" s="168"/>
      <c r="J73" s="168"/>
      <c r="K73" s="168"/>
      <c r="L73" s="168"/>
    </row>
    <row r="74" spans="1:29" ht="33" customHeight="1" x14ac:dyDescent="0.4">
      <c r="B74" s="171" t="s">
        <v>47</v>
      </c>
      <c r="C74" s="172"/>
      <c r="D74" s="173"/>
      <c r="E74" s="174"/>
      <c r="F74" s="168"/>
      <c r="G74" s="168"/>
      <c r="H74" s="168"/>
      <c r="I74" s="168"/>
      <c r="J74" s="168"/>
      <c r="K74" s="168"/>
      <c r="L74" s="168"/>
    </row>
    <row r="75" spans="1:29" ht="33" customHeight="1" x14ac:dyDescent="0.4">
      <c r="B75" s="175" t="s">
        <v>365</v>
      </c>
      <c r="C75" s="170"/>
      <c r="D75" s="176"/>
      <c r="E75" s="177"/>
      <c r="F75" s="168"/>
      <c r="G75" s="168"/>
      <c r="H75" s="168"/>
      <c r="I75" s="168"/>
      <c r="J75" s="168"/>
      <c r="K75" s="168"/>
      <c r="L75" s="168"/>
    </row>
    <row r="76" spans="1:29" ht="33" customHeight="1" x14ac:dyDescent="0.4">
      <c r="B76" s="175" t="s">
        <v>366</v>
      </c>
      <c r="C76" s="178"/>
      <c r="D76" s="176"/>
      <c r="E76" s="177"/>
      <c r="F76" s="168"/>
      <c r="G76" s="168"/>
      <c r="H76" s="168"/>
      <c r="I76" s="168"/>
      <c r="J76" s="168"/>
      <c r="K76" s="168"/>
      <c r="L76" s="168"/>
    </row>
    <row r="77" spans="1:29" ht="33" customHeight="1" x14ac:dyDescent="0.4">
      <c r="B77" s="175" t="s">
        <v>367</v>
      </c>
      <c r="C77" s="178"/>
      <c r="D77" s="176"/>
      <c r="E77" s="177"/>
      <c r="F77" s="168"/>
      <c r="G77" s="168"/>
      <c r="H77" s="168"/>
      <c r="I77" s="168"/>
      <c r="J77" s="168"/>
      <c r="K77" s="168"/>
      <c r="L77" s="168"/>
    </row>
    <row r="78" spans="1:29" ht="33" customHeight="1" x14ac:dyDescent="0.4">
      <c r="B78" s="175" t="s">
        <v>368</v>
      </c>
      <c r="C78" s="170"/>
      <c r="D78" s="176"/>
      <c r="E78" s="177"/>
      <c r="F78" s="168"/>
      <c r="G78" s="168"/>
      <c r="H78" s="168"/>
      <c r="I78" s="168"/>
      <c r="J78" s="168"/>
      <c r="K78" s="168"/>
      <c r="L78" s="168"/>
    </row>
    <row r="79" spans="1:29" ht="33" customHeight="1" x14ac:dyDescent="0.4">
      <c r="B79" s="175" t="s">
        <v>369</v>
      </c>
      <c r="C79" s="170"/>
      <c r="D79" s="176"/>
      <c r="E79" s="177"/>
      <c r="F79" s="168"/>
      <c r="G79" s="168"/>
      <c r="H79" s="168"/>
      <c r="I79" s="168"/>
      <c r="J79" s="168"/>
      <c r="K79" s="168"/>
      <c r="L79" s="168"/>
    </row>
    <row r="80" spans="1:29" ht="33" customHeight="1" x14ac:dyDescent="0.4">
      <c r="B80" s="175" t="s">
        <v>370</v>
      </c>
      <c r="C80" s="170"/>
      <c r="D80" s="176"/>
      <c r="E80" s="177"/>
      <c r="F80" s="168"/>
      <c r="G80" s="168"/>
      <c r="H80" s="168"/>
      <c r="I80" s="168"/>
      <c r="J80" s="168"/>
      <c r="K80" s="168"/>
      <c r="L80" s="168"/>
    </row>
    <row r="81" spans="2:12" ht="33" customHeight="1" thickBot="1" x14ac:dyDescent="0.45">
      <c r="B81" s="179" t="s">
        <v>371</v>
      </c>
      <c r="C81" s="180" t="s">
        <v>372</v>
      </c>
      <c r="D81" s="181"/>
      <c r="E81" s="182"/>
      <c r="F81" s="168"/>
      <c r="G81" s="168"/>
      <c r="H81" s="168"/>
      <c r="I81" s="168"/>
      <c r="J81" s="168"/>
      <c r="K81" s="168"/>
      <c r="L81" s="168"/>
    </row>
    <row r="82" spans="2:12" ht="33" customHeight="1" thickBot="1" x14ac:dyDescent="0.45">
      <c r="B82" s="169"/>
      <c r="C82" s="168"/>
      <c r="D82" s="168"/>
      <c r="E82" s="168"/>
      <c r="F82" s="168"/>
      <c r="G82" s="168"/>
      <c r="H82" s="168"/>
      <c r="I82" s="168"/>
      <c r="J82" s="168"/>
      <c r="K82" s="168"/>
      <c r="L82" s="168"/>
    </row>
    <row r="83" spans="2:12" ht="33" customHeight="1" x14ac:dyDescent="0.4">
      <c r="B83" s="171" t="s">
        <v>373</v>
      </c>
      <c r="C83" s="173"/>
      <c r="D83" s="173"/>
      <c r="E83" s="173"/>
      <c r="F83" s="173"/>
      <c r="G83" s="173"/>
      <c r="H83" s="173"/>
      <c r="I83" s="173"/>
      <c r="J83" s="173"/>
      <c r="K83" s="173"/>
      <c r="L83" s="174"/>
    </row>
    <row r="84" spans="2:12" ht="33" customHeight="1" x14ac:dyDescent="0.4">
      <c r="B84" s="175" t="s">
        <v>374</v>
      </c>
      <c r="C84" s="176"/>
      <c r="D84" s="176"/>
      <c r="E84" s="176"/>
      <c r="F84" s="176"/>
      <c r="G84" s="176"/>
      <c r="H84" s="176"/>
      <c r="I84" s="176"/>
      <c r="J84" s="176"/>
      <c r="K84" s="176"/>
      <c r="L84" s="177"/>
    </row>
    <row r="85" spans="2:12" ht="33" customHeight="1" thickBot="1" x14ac:dyDescent="0.45">
      <c r="B85" s="183" t="s">
        <v>375</v>
      </c>
      <c r="C85" s="181"/>
      <c r="D85" s="181"/>
      <c r="E85" s="181"/>
      <c r="F85" s="181"/>
      <c r="G85" s="181"/>
      <c r="H85" s="181"/>
      <c r="I85" s="181"/>
      <c r="J85" s="181"/>
      <c r="K85" s="181"/>
      <c r="L85" s="182"/>
    </row>
  </sheetData>
  <autoFilter ref="A13:AD13"/>
  <mergeCells count="18">
    <mergeCell ref="C6:E6"/>
    <mergeCell ref="B1:E1"/>
    <mergeCell ref="H4:I4"/>
    <mergeCell ref="L4:M4"/>
    <mergeCell ref="P4:Q4"/>
    <mergeCell ref="AA12:AC12"/>
    <mergeCell ref="AB4:AC4"/>
    <mergeCell ref="G10:Q10"/>
    <mergeCell ref="S10:AC10"/>
    <mergeCell ref="G11:Q11"/>
    <mergeCell ref="S11:AC11"/>
    <mergeCell ref="G12:I12"/>
    <mergeCell ref="K12:M12"/>
    <mergeCell ref="O12:Q12"/>
    <mergeCell ref="S12:U12"/>
    <mergeCell ref="W12:Y12"/>
    <mergeCell ref="X4:Y4"/>
    <mergeCell ref="T4:U4"/>
  </mergeCells>
  <conditionalFormatting sqref="H6:I6">
    <cfRule type="cellIs" dxfId="34" priority="11" operator="equal">
      <formula>0</formula>
    </cfRule>
    <cfRule type="cellIs" dxfId="33" priority="12" operator="greaterThan">
      <formula>0</formula>
    </cfRule>
  </conditionalFormatting>
  <conditionalFormatting sqref="L6:M6">
    <cfRule type="cellIs" dxfId="32" priority="9" operator="equal">
      <formula>0</formula>
    </cfRule>
    <cfRule type="cellIs" dxfId="31" priority="10" operator="greaterThan">
      <formula>0</formula>
    </cfRule>
  </conditionalFormatting>
  <conditionalFormatting sqref="P6:Q6">
    <cfRule type="cellIs" dxfId="30" priority="7" operator="equal">
      <formula>0</formula>
    </cfRule>
    <cfRule type="cellIs" dxfId="29" priority="8" operator="greaterThan">
      <formula>0</formula>
    </cfRule>
  </conditionalFormatting>
  <conditionalFormatting sqref="T6:U6">
    <cfRule type="cellIs" dxfId="28" priority="5" operator="equal">
      <formula>0</formula>
    </cfRule>
    <cfRule type="cellIs" dxfId="27" priority="6" operator="greaterThan">
      <formula>0</formula>
    </cfRule>
  </conditionalFormatting>
  <conditionalFormatting sqref="X6:Y6">
    <cfRule type="cellIs" dxfId="26" priority="3" operator="equal">
      <formula>0</formula>
    </cfRule>
    <cfRule type="cellIs" dxfId="25" priority="4" operator="greaterThan">
      <formula>0</formula>
    </cfRule>
  </conditionalFormatting>
  <conditionalFormatting sqref="AB6:AC6">
    <cfRule type="cellIs" dxfId="24" priority="1" operator="equal">
      <formula>0</formula>
    </cfRule>
    <cfRule type="cellIs" dxfId="23" priority="2" operator="greaterThan">
      <formula>0</formula>
    </cfRule>
  </conditionalFormatting>
  <conditionalFormatting sqref="D14:E68">
    <cfRule type="cellIs" dxfId="22" priority="15" operator="greaterThan">
      <formula>0</formula>
    </cfRule>
    <cfRule type="cellIs" dxfId="21" priority="16" operator="equal">
      <formula>0</formula>
    </cfRule>
  </conditionalFormatting>
  <conditionalFormatting sqref="K14:M68 S14:U68 G14:I68 O14:Q68 W14:Y68 AA14:AC68">
    <cfRule type="cellIs" dxfId="20" priority="13" operator="equal">
      <formula>0</formula>
    </cfRule>
    <cfRule type="cellIs" dxfId="19" priority="14" operator="greaterThan">
      <formula>0</formula>
    </cfRule>
  </conditionalFormatting>
  <dataValidations count="4">
    <dataValidation type="textLength" allowBlank="1" showInputMessage="1" showErrorMessage="1" error="CHARTE EXCEL DU DOCUMENT / NE PAS MODIFIER !" prompt="CHARTE EXCEL DU DOCUMENT / NE PAS MODIFIER !" sqref="AB14:AC68 X14:Y68 T14:U68 P14:Q68 L14:M68 H14:I68 E14:E71 F69:AC71 G1:AD13 F2:F13 B9:E13 B69:D71 B2:E7 B1:E1">
      <formula1>1000</formula1>
      <formula2>1000</formula2>
    </dataValidation>
    <dataValidation allowBlank="1" showInputMessage="1" showErrorMessage="1" prompt="SEUL L'ACHETEUR EST AUTORISÉ À METTRE À JOUR !" sqref="D14:D68"/>
    <dataValidation type="textLength" allowBlank="1" showInputMessage="1" showErrorMessage="1" error="LA MISE A JOUR EST À EFFECTUER DANS L'APPENDICE 2." prompt="LA MISE A JOUR EST À EFFECTUER DANS L'APPENDICE 2." sqref="B8:E8">
      <formula1>1000</formula1>
      <formula2>1000</formula2>
    </dataValidation>
    <dataValidation type="textLength" allowBlank="1" showInputMessage="1" showErrorMessage="1" error="ACHETEUR : MASQUER L'ONGLET POUR L'APPEL D'OFFRES." prompt="ACHETEUR : MASQUER L'ONGLET POUR L'APPEL D'OFFRES." sqref="F1">
      <formula1>1000</formula1>
      <formula2>1000</formula2>
    </dataValidation>
  </dataValidations>
  <pageMargins left="0.70866141732283472" right="0.70866141732283472" top="0.74803149606299213" bottom="0.74803149606299213" header="0.31496062992125984" footer="0.31496062992125984"/>
  <pageSetup paperSize="8" scale="50" orientation="landscape"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AD40"/>
  <sheetViews>
    <sheetView zoomScale="40" zoomScaleNormal="40" workbookViewId="0">
      <pane xSplit="5" topLeftCell="F1" activePane="topRight" state="frozen"/>
      <selection pane="topRight" activeCell="P33" sqref="P33"/>
    </sheetView>
  </sheetViews>
  <sheetFormatPr baseColWidth="10" defaultColWidth="11.453125" defaultRowHeight="12.5" x14ac:dyDescent="0.25"/>
  <cols>
    <col min="1" max="1" width="6.81640625" style="110" customWidth="1"/>
    <col min="2" max="2" width="100.7265625" style="110" customWidth="1"/>
    <col min="3" max="3" width="34.453125" style="110" customWidth="1"/>
    <col min="4" max="4" width="21.453125" style="110" customWidth="1"/>
    <col min="5" max="5" width="24.6328125" style="110" customWidth="1"/>
    <col min="6" max="6" width="8.6328125" style="110" customWidth="1"/>
    <col min="7" max="9" width="15.54296875" style="110" customWidth="1"/>
    <col min="10" max="10" width="9.7265625" style="110" customWidth="1"/>
    <col min="11" max="13" width="15.54296875" style="110" customWidth="1"/>
    <col min="14" max="14" width="9.54296875" style="110" customWidth="1"/>
    <col min="15" max="17" width="15.54296875" style="110" customWidth="1"/>
    <col min="18" max="18" width="9.54296875" style="110" customWidth="1"/>
    <col min="19" max="21" width="15.54296875" style="110" customWidth="1"/>
    <col min="22" max="22" width="10.26953125" style="110" customWidth="1"/>
    <col min="23" max="25" width="15.54296875" style="110" customWidth="1"/>
    <col min="26" max="26" width="11.453125" style="110"/>
    <col min="27" max="29" width="15.54296875" style="110" customWidth="1"/>
    <col min="30" max="16384" width="11.453125" style="110"/>
  </cols>
  <sheetData>
    <row r="1" spans="1:30" ht="62" customHeight="1" x14ac:dyDescent="0.25">
      <c r="B1" s="502" t="s">
        <v>428</v>
      </c>
      <c r="C1" s="502"/>
      <c r="D1" s="502"/>
      <c r="E1" s="502"/>
      <c r="F1" s="137" t="s">
        <v>429</v>
      </c>
      <c r="G1" s="138"/>
      <c r="H1" s="138"/>
      <c r="I1" s="138"/>
      <c r="J1" s="138"/>
      <c r="K1" s="138"/>
      <c r="L1" s="138"/>
      <c r="M1" s="138"/>
      <c r="N1" s="138"/>
      <c r="O1" s="138"/>
      <c r="P1" s="138"/>
      <c r="Q1" s="138"/>
      <c r="R1" s="138"/>
      <c r="S1" s="138"/>
      <c r="T1" s="138"/>
      <c r="U1" s="138"/>
    </row>
    <row r="2" spans="1:30" ht="33" customHeight="1" x14ac:dyDescent="0.7">
      <c r="B2" s="139" t="s">
        <v>376</v>
      </c>
      <c r="I2" s="80" t="s">
        <v>284</v>
      </c>
      <c r="M2" s="80" t="s">
        <v>285</v>
      </c>
      <c r="Q2" s="80" t="s">
        <v>286</v>
      </c>
      <c r="U2" s="80" t="s">
        <v>287</v>
      </c>
      <c r="Y2" s="80" t="s">
        <v>288</v>
      </c>
      <c r="AC2" s="80" t="s">
        <v>289</v>
      </c>
    </row>
    <row r="3" spans="1:30" ht="33" customHeight="1" thickBot="1" x14ac:dyDescent="0.3">
      <c r="B3" s="140" t="s">
        <v>290</v>
      </c>
    </row>
    <row r="4" spans="1:30" ht="33" customHeight="1" thickBot="1" x14ac:dyDescent="0.3">
      <c r="C4" s="142"/>
      <c r="E4" s="144"/>
      <c r="F4" s="125"/>
      <c r="G4" s="125"/>
      <c r="H4" s="536" t="s">
        <v>430</v>
      </c>
      <c r="I4" s="537"/>
      <c r="J4" s="125"/>
      <c r="K4" s="125"/>
      <c r="L4" s="536" t="s">
        <v>431</v>
      </c>
      <c r="M4" s="537"/>
      <c r="N4" s="125"/>
      <c r="O4" s="125"/>
      <c r="P4" s="536" t="s">
        <v>432</v>
      </c>
      <c r="Q4" s="537"/>
      <c r="R4" s="125"/>
      <c r="S4" s="125"/>
      <c r="T4" s="536" t="s">
        <v>433</v>
      </c>
      <c r="U4" s="537"/>
      <c r="V4" s="125"/>
      <c r="W4" s="125"/>
      <c r="X4" s="536" t="s">
        <v>98</v>
      </c>
      <c r="Y4" s="537"/>
      <c r="AB4" s="536" t="s">
        <v>434</v>
      </c>
      <c r="AC4" s="537"/>
    </row>
    <row r="5" spans="1:30" ht="33" customHeight="1" thickBot="1" x14ac:dyDescent="0.3">
      <c r="C5" s="142"/>
      <c r="E5" s="144"/>
      <c r="F5" s="125"/>
      <c r="G5" s="125"/>
      <c r="H5" s="18" t="s">
        <v>99</v>
      </c>
      <c r="I5" s="19" t="s">
        <v>100</v>
      </c>
      <c r="J5" s="125"/>
      <c r="K5" s="125"/>
      <c r="L5" s="18" t="s">
        <v>99</v>
      </c>
      <c r="M5" s="19" t="s">
        <v>100</v>
      </c>
      <c r="N5" s="125"/>
      <c r="O5" s="125"/>
      <c r="P5" s="18" t="s">
        <v>99</v>
      </c>
      <c r="Q5" s="19" t="s">
        <v>100</v>
      </c>
      <c r="R5" s="125"/>
      <c r="S5" s="125"/>
      <c r="T5" s="18" t="s">
        <v>99</v>
      </c>
      <c r="U5" s="19" t="s">
        <v>100</v>
      </c>
      <c r="V5" s="125"/>
      <c r="W5" s="125"/>
      <c r="X5" s="18" t="s">
        <v>99</v>
      </c>
      <c r="Y5" s="19" t="s">
        <v>100</v>
      </c>
      <c r="AB5" s="18" t="s">
        <v>99</v>
      </c>
      <c r="AC5" s="19" t="s">
        <v>100</v>
      </c>
    </row>
    <row r="6" spans="1:30" ht="48" customHeight="1" thickBot="1" x14ac:dyDescent="0.4">
      <c r="B6" s="340" t="s">
        <v>435</v>
      </c>
      <c r="C6" s="542" t="s">
        <v>407</v>
      </c>
      <c r="D6" s="542"/>
      <c r="E6" s="542"/>
      <c r="F6" s="125"/>
      <c r="G6" s="145" t="str">
        <f>IF(SUM(H:H)/2=H6,"","Erreur")</f>
        <v/>
      </c>
      <c r="H6" s="20">
        <f>ROUND(SUM(H14:H23),2)</f>
        <v>0</v>
      </c>
      <c r="I6" s="21">
        <f>ROUND(SUM(I14:I23),2)</f>
        <v>0</v>
      </c>
      <c r="J6" s="145" t="str">
        <f>IF(SUM(I:I)/2=I6,"","Erreur")</f>
        <v/>
      </c>
      <c r="K6" s="145" t="str">
        <f>IF(SUM(L:L)/2=L6,"","Erreur")</f>
        <v/>
      </c>
      <c r="L6" s="20">
        <f>ROUND(SUM(L14:L23),2)</f>
        <v>0</v>
      </c>
      <c r="M6" s="21">
        <f>SUM(M14:M23)</f>
        <v>0</v>
      </c>
      <c r="N6" s="145" t="str">
        <f>IF(SUM(M:M)/2=M6,"","Erreur")</f>
        <v/>
      </c>
      <c r="O6" s="145" t="str">
        <f>IF(SUM(P:P)/2=P6,"","Erreur")</f>
        <v/>
      </c>
      <c r="P6" s="20">
        <f>ROUND(SUM(P14:P23),2)</f>
        <v>0</v>
      </c>
      <c r="Q6" s="21">
        <f>ROUND(SUM(Q14:Q23),2)</f>
        <v>0</v>
      </c>
      <c r="R6" s="145" t="str">
        <f>IF(SUM(Q:Q)/2=Q6,"","Erreur")</f>
        <v/>
      </c>
      <c r="S6" s="145" t="str">
        <f>IF(SUM(T:T)/2=T6,"","Erreur")</f>
        <v/>
      </c>
      <c r="T6" s="20">
        <f>ROUND(SUM(T14:T23),2)</f>
        <v>0</v>
      </c>
      <c r="U6" s="21">
        <f>ROUND(SUM(U14:U23),2)</f>
        <v>0</v>
      </c>
      <c r="V6" s="145" t="str">
        <f>IF(SUM(U:U)/2=U6,"","Erreur")</f>
        <v/>
      </c>
      <c r="W6" s="145" t="str">
        <f>IF(SUM(X:X)/2=X6,"","Erreur")</f>
        <v/>
      </c>
      <c r="X6" s="20">
        <f>ROUND(SUM(X14:X23),2)</f>
        <v>96252</v>
      </c>
      <c r="Y6" s="21">
        <f>ROUND(SUM(Y14:Y23),2)</f>
        <v>115502.39999999999</v>
      </c>
      <c r="Z6" s="145" t="str">
        <f>IF(SUM(Y:Y)/2=Y6,"","Erreur")</f>
        <v/>
      </c>
      <c r="AA6" s="145" t="str">
        <f>IF(SUM(AB:AB)/2=AB6,"","Erreur")</f>
        <v/>
      </c>
      <c r="AB6" s="20">
        <f>ROUND(SUM(AB14:AB23),2)</f>
        <v>0</v>
      </c>
      <c r="AC6" s="21">
        <f>ROUND(SUM(AC14:AC23),2)</f>
        <v>0</v>
      </c>
      <c r="AD6" s="145" t="str">
        <f>IF(SUM(AC:AC)/2=AC6,"","Erreur")</f>
        <v/>
      </c>
    </row>
    <row r="7" spans="1:30" ht="33" customHeight="1" x14ac:dyDescent="0.25">
      <c r="B7" s="324" t="s">
        <v>408</v>
      </c>
      <c r="C7" s="324" t="s">
        <v>408</v>
      </c>
      <c r="D7" s="146"/>
      <c r="E7" s="146"/>
      <c r="F7" s="125"/>
      <c r="G7" s="543" t="s">
        <v>441</v>
      </c>
      <c r="H7" s="543"/>
      <c r="I7" s="543"/>
      <c r="J7" s="543"/>
      <c r="K7" s="543"/>
      <c r="L7" s="543"/>
      <c r="M7" s="543"/>
      <c r="N7" s="543"/>
      <c r="O7" s="543"/>
      <c r="P7" s="543"/>
      <c r="Q7" s="543"/>
      <c r="R7" s="543"/>
      <c r="S7" s="543"/>
      <c r="T7" s="543"/>
      <c r="U7" s="543"/>
      <c r="V7" s="543"/>
      <c r="W7" s="543"/>
      <c r="X7" s="543"/>
      <c r="Y7" s="543"/>
      <c r="Z7" s="543"/>
      <c r="AA7" s="543"/>
      <c r="AB7" s="543"/>
      <c r="AC7" s="543"/>
      <c r="AD7" s="543"/>
    </row>
    <row r="8" spans="1:30" ht="33" customHeight="1" x14ac:dyDescent="0.4">
      <c r="B8" s="341" t="str">
        <f>'ANX 1 - Légende - appd 2'!A4</f>
        <v>DAF_2025_000478</v>
      </c>
      <c r="C8" s="327" t="str">
        <f>'ANX 1 - Légende - appd 2'!C4:E4</f>
        <v>LOT UNIQUE :  HÔTEL de BROGLIE - STRASBOURG</v>
      </c>
      <c r="D8" s="148"/>
      <c r="E8" s="148"/>
      <c r="F8" s="149"/>
      <c r="G8" s="543" t="s">
        <v>478</v>
      </c>
      <c r="H8" s="543"/>
      <c r="I8" s="543"/>
      <c r="J8" s="543"/>
      <c r="K8" s="543"/>
      <c r="L8" s="543"/>
      <c r="M8" s="543"/>
      <c r="N8" s="543"/>
      <c r="O8" s="543"/>
      <c r="P8" s="543"/>
      <c r="Q8" s="543"/>
      <c r="R8" s="543"/>
      <c r="S8" s="543"/>
      <c r="T8" s="543"/>
      <c r="U8" s="543"/>
      <c r="V8" s="543"/>
      <c r="W8" s="543"/>
      <c r="X8" s="543"/>
      <c r="Y8" s="543"/>
      <c r="Z8" s="543"/>
      <c r="AA8" s="543"/>
      <c r="AB8" s="543"/>
      <c r="AC8" s="543"/>
      <c r="AD8" s="543"/>
    </row>
    <row r="9" spans="1:30" ht="33" customHeight="1" x14ac:dyDescent="0.4">
      <c r="B9" s="147"/>
      <c r="C9" s="150"/>
      <c r="D9" s="150"/>
      <c r="E9" s="150"/>
      <c r="G9" s="543"/>
      <c r="H9" s="543"/>
      <c r="I9" s="543"/>
      <c r="J9" s="543"/>
      <c r="K9" s="543"/>
      <c r="L9" s="543"/>
      <c r="M9" s="543"/>
      <c r="N9" s="543"/>
      <c r="O9" s="543"/>
      <c r="P9" s="543"/>
      <c r="Q9" s="543"/>
      <c r="R9" s="543"/>
      <c r="S9" s="543"/>
      <c r="T9" s="543"/>
      <c r="U9" s="543"/>
      <c r="V9" s="543"/>
      <c r="W9" s="543"/>
      <c r="X9" s="543"/>
      <c r="Y9" s="543"/>
      <c r="Z9" s="543"/>
      <c r="AA9" s="543"/>
      <c r="AB9" s="543"/>
      <c r="AC9" s="543"/>
      <c r="AD9" s="543"/>
    </row>
    <row r="10" spans="1:30" ht="33" customHeight="1" thickBot="1" x14ac:dyDescent="0.3">
      <c r="B10" s="151"/>
      <c r="G10" s="538" t="s">
        <v>442</v>
      </c>
      <c r="H10" s="538"/>
      <c r="I10" s="538"/>
      <c r="J10" s="538"/>
      <c r="K10" s="538"/>
      <c r="L10" s="538"/>
      <c r="M10" s="538"/>
      <c r="N10" s="538"/>
      <c r="O10" s="538"/>
      <c r="P10" s="538"/>
      <c r="Q10" s="538"/>
      <c r="R10" s="152"/>
      <c r="S10" s="538" t="s">
        <v>442</v>
      </c>
      <c r="T10" s="538"/>
      <c r="U10" s="538"/>
      <c r="V10" s="538"/>
      <c r="W10" s="538"/>
      <c r="X10" s="538"/>
      <c r="Y10" s="538"/>
      <c r="Z10" s="538"/>
      <c r="AA10" s="538"/>
      <c r="AB10" s="538"/>
      <c r="AC10" s="538"/>
    </row>
    <row r="11" spans="1:30" ht="33" customHeight="1" thickBot="1" x14ac:dyDescent="0.3">
      <c r="B11" s="16"/>
      <c r="D11" s="14" t="s">
        <v>43</v>
      </c>
      <c r="E11" s="15">
        <v>0.2</v>
      </c>
      <c r="G11" s="539" t="s">
        <v>291</v>
      </c>
      <c r="H11" s="540"/>
      <c r="I11" s="540"/>
      <c r="J11" s="540"/>
      <c r="K11" s="540"/>
      <c r="L11" s="540"/>
      <c r="M11" s="540"/>
      <c r="N11" s="540"/>
      <c r="O11" s="540"/>
      <c r="P11" s="540"/>
      <c r="Q11" s="541"/>
      <c r="R11" s="153"/>
      <c r="S11" s="539" t="s">
        <v>292</v>
      </c>
      <c r="T11" s="540"/>
      <c r="U11" s="540"/>
      <c r="V11" s="540"/>
      <c r="W11" s="540"/>
      <c r="X11" s="540"/>
      <c r="Y11" s="540"/>
      <c r="Z11" s="540"/>
      <c r="AA11" s="540"/>
      <c r="AB11" s="540"/>
      <c r="AC11" s="541"/>
    </row>
    <row r="12" spans="1:30" s="154" customFormat="1" ht="63.75" customHeight="1" thickBot="1" x14ac:dyDescent="0.4">
      <c r="B12" s="16"/>
      <c r="C12" s="110"/>
      <c r="D12" s="17" t="s">
        <v>91</v>
      </c>
      <c r="E12" s="17" t="s">
        <v>92</v>
      </c>
      <c r="G12" s="544" t="s">
        <v>437</v>
      </c>
      <c r="H12" s="545"/>
      <c r="I12" s="546"/>
      <c r="J12" s="155"/>
      <c r="K12" s="544" t="s">
        <v>438</v>
      </c>
      <c r="L12" s="545"/>
      <c r="M12" s="546"/>
      <c r="N12" s="156"/>
      <c r="O12" s="544" t="s">
        <v>439</v>
      </c>
      <c r="P12" s="545"/>
      <c r="Q12" s="546"/>
      <c r="R12" s="156"/>
      <c r="S12" s="544" t="s">
        <v>437</v>
      </c>
      <c r="T12" s="545"/>
      <c r="U12" s="546"/>
      <c r="V12" s="155"/>
      <c r="W12" s="544" t="s">
        <v>438</v>
      </c>
      <c r="X12" s="545"/>
      <c r="Y12" s="546"/>
      <c r="Z12" s="157"/>
      <c r="AA12" s="544" t="s">
        <v>439</v>
      </c>
      <c r="AB12" s="545"/>
      <c r="AC12" s="546"/>
    </row>
    <row r="13" spans="1:30" s="154" customFormat="1" ht="52.5" customHeight="1" thickBot="1" x14ac:dyDescent="0.4">
      <c r="B13" s="158" t="s">
        <v>293</v>
      </c>
      <c r="C13" s="159" t="s">
        <v>93</v>
      </c>
      <c r="D13" s="342" t="s">
        <v>94</v>
      </c>
      <c r="E13" s="160" t="s">
        <v>95</v>
      </c>
      <c r="G13" s="161" t="s">
        <v>294</v>
      </c>
      <c r="H13" s="161" t="s">
        <v>96</v>
      </c>
      <c r="I13" s="161" t="s">
        <v>97</v>
      </c>
      <c r="J13" s="155"/>
      <c r="K13" s="161" t="s">
        <v>294</v>
      </c>
      <c r="L13" s="161" t="s">
        <v>96</v>
      </c>
      <c r="M13" s="161" t="s">
        <v>97</v>
      </c>
      <c r="N13" s="156"/>
      <c r="O13" s="161" t="s">
        <v>294</v>
      </c>
      <c r="P13" s="161" t="s">
        <v>96</v>
      </c>
      <c r="Q13" s="161" t="s">
        <v>97</v>
      </c>
      <c r="R13" s="156"/>
      <c r="S13" s="161" t="s">
        <v>294</v>
      </c>
      <c r="T13" s="161" t="s">
        <v>96</v>
      </c>
      <c r="U13" s="161" t="s">
        <v>97</v>
      </c>
      <c r="V13" s="112"/>
      <c r="W13" s="161" t="s">
        <v>294</v>
      </c>
      <c r="X13" s="161" t="s">
        <v>96</v>
      </c>
      <c r="Y13" s="161" t="s">
        <v>97</v>
      </c>
      <c r="Z13" s="157"/>
      <c r="AA13" s="161" t="s">
        <v>294</v>
      </c>
      <c r="AB13" s="161" t="s">
        <v>96</v>
      </c>
      <c r="AC13" s="161" t="s">
        <v>97</v>
      </c>
    </row>
    <row r="14" spans="1:30" ht="41" customHeight="1" thickBot="1" x14ac:dyDescent="0.3">
      <c r="A14" s="111">
        <v>1</v>
      </c>
      <c r="B14" s="387" t="s">
        <v>487</v>
      </c>
      <c r="C14" s="388" t="s">
        <v>210</v>
      </c>
      <c r="D14" s="345">
        <v>4.5</v>
      </c>
      <c r="E14" s="162">
        <f>ROUND(PRODUCT(D14,1+$E$11),2)</f>
        <v>5.4</v>
      </c>
      <c r="G14" s="113">
        <v>0</v>
      </c>
      <c r="H14" s="114">
        <f>ROUND(G14*D14,2)</f>
        <v>0</v>
      </c>
      <c r="I14" s="115">
        <f>ROUND(G14*((D14*(1+$E$11))),2)</f>
        <v>0</v>
      </c>
      <c r="J14" s="116"/>
      <c r="K14" s="113">
        <v>0</v>
      </c>
      <c r="L14" s="114">
        <f>ROUND(K14*D14,2)</f>
        <v>0</v>
      </c>
      <c r="M14" s="115">
        <f>ROUND(K14*((D14*(1+$E$11))),2)</f>
        <v>0</v>
      </c>
      <c r="O14" s="113">
        <v>0</v>
      </c>
      <c r="P14" s="114">
        <f>ROUND(O14*D14,2)</f>
        <v>0</v>
      </c>
      <c r="Q14" s="115">
        <f>ROUND(O14*((D14*(1+$E$11))),2)</f>
        <v>0</v>
      </c>
      <c r="S14" s="113">
        <v>0</v>
      </c>
      <c r="T14" s="114">
        <f>ROUND(S14*D14,2)</f>
        <v>0</v>
      </c>
      <c r="U14" s="115">
        <f>ROUND(S14*((D14*(1+$E$11))),2)</f>
        <v>0</v>
      </c>
      <c r="V14" s="116"/>
      <c r="W14" s="113">
        <v>5000</v>
      </c>
      <c r="X14" s="114">
        <f>ROUND(W14*D14,2)</f>
        <v>22500</v>
      </c>
      <c r="Y14" s="115">
        <f>ROUND(W14*((D14*(1+$E$11))),2)</f>
        <v>27000</v>
      </c>
      <c r="AA14" s="113">
        <v>0</v>
      </c>
      <c r="AB14" s="114">
        <f>ROUND(AA14*D14,2)</f>
        <v>0</v>
      </c>
      <c r="AC14" s="115">
        <f>ROUND(AA14*((D14*(1+$E$11))),2)</f>
        <v>0</v>
      </c>
    </row>
    <row r="15" spans="1:30" ht="41" customHeight="1" thickBot="1" x14ac:dyDescent="0.3">
      <c r="A15" s="111">
        <v>2</v>
      </c>
      <c r="B15" s="387" t="s">
        <v>488</v>
      </c>
      <c r="C15" s="388" t="s">
        <v>211</v>
      </c>
      <c r="D15" s="345">
        <v>6.23</v>
      </c>
      <c r="E15" s="162">
        <f t="shared" ref="E15:E20" si="0">ROUND(PRODUCT(D15,1+$E$11),2)</f>
        <v>7.48</v>
      </c>
      <c r="G15" s="113">
        <v>0</v>
      </c>
      <c r="H15" s="114">
        <f t="shared" ref="H15:H20" si="1">ROUND(G15*D15,2)</f>
        <v>0</v>
      </c>
      <c r="I15" s="115">
        <f t="shared" ref="I15:I20" si="2">ROUND(G15*((D15*(1+$E$11))),2)</f>
        <v>0</v>
      </c>
      <c r="J15" s="116"/>
      <c r="K15" s="113">
        <v>0</v>
      </c>
      <c r="L15" s="114">
        <f t="shared" ref="L15:L20" si="3">ROUND(K15*D15,2)</f>
        <v>0</v>
      </c>
      <c r="M15" s="115">
        <f t="shared" ref="M15:M20" si="4">ROUND(K15*((D15*(1+$E$11))),2)</f>
        <v>0</v>
      </c>
      <c r="O15" s="113">
        <v>0</v>
      </c>
      <c r="P15" s="114">
        <f t="shared" ref="P15:P20" si="5">ROUND(O15*D15,2)</f>
        <v>0</v>
      </c>
      <c r="Q15" s="115">
        <f t="shared" ref="Q15:Q20" si="6">ROUND(O15*((D15*(1+$E$11))),2)</f>
        <v>0</v>
      </c>
      <c r="S15" s="113">
        <v>0</v>
      </c>
      <c r="T15" s="114">
        <f t="shared" ref="T15:T20" si="7">ROUND(S15*D15,2)</f>
        <v>0</v>
      </c>
      <c r="U15" s="115">
        <f t="shared" ref="U15:U20" si="8">ROUND(S15*((D15*(1+$E$11))),2)</f>
        <v>0</v>
      </c>
      <c r="V15" s="116"/>
      <c r="W15" s="113">
        <v>90</v>
      </c>
      <c r="X15" s="114">
        <f t="shared" ref="X15:X20" si="9">ROUND(W15*D15,2)</f>
        <v>560.70000000000005</v>
      </c>
      <c r="Y15" s="115">
        <f t="shared" ref="Y15:Y20" si="10">ROUND(W15*((D15*(1+$E$11))),2)</f>
        <v>672.84</v>
      </c>
      <c r="AA15" s="113">
        <v>0</v>
      </c>
      <c r="AB15" s="114">
        <f t="shared" ref="AB15:AB20" si="11">ROUND(AA15*D15,2)</f>
        <v>0</v>
      </c>
      <c r="AC15" s="115">
        <f t="shared" ref="AC15:AC20" si="12">ROUND(AA15*((D15*(1+$E$11))),2)</f>
        <v>0</v>
      </c>
    </row>
    <row r="16" spans="1:30" ht="41" customHeight="1" thickBot="1" x14ac:dyDescent="0.3">
      <c r="A16" s="111">
        <v>3</v>
      </c>
      <c r="B16" s="389" t="s">
        <v>489</v>
      </c>
      <c r="C16" s="388" t="s">
        <v>210</v>
      </c>
      <c r="D16" s="345">
        <v>14.25</v>
      </c>
      <c r="E16" s="162">
        <f t="shared" si="0"/>
        <v>17.100000000000001</v>
      </c>
      <c r="G16" s="113">
        <v>0</v>
      </c>
      <c r="H16" s="114">
        <f t="shared" si="1"/>
        <v>0</v>
      </c>
      <c r="I16" s="115">
        <f t="shared" si="2"/>
        <v>0</v>
      </c>
      <c r="J16" s="116"/>
      <c r="K16" s="113">
        <v>0</v>
      </c>
      <c r="L16" s="114">
        <f t="shared" si="3"/>
        <v>0</v>
      </c>
      <c r="M16" s="115">
        <f t="shared" si="4"/>
        <v>0</v>
      </c>
      <c r="O16" s="113">
        <v>0</v>
      </c>
      <c r="P16" s="114">
        <f t="shared" si="5"/>
        <v>0</v>
      </c>
      <c r="Q16" s="115">
        <f t="shared" si="6"/>
        <v>0</v>
      </c>
      <c r="S16" s="113">
        <v>0</v>
      </c>
      <c r="T16" s="114">
        <f t="shared" si="7"/>
        <v>0</v>
      </c>
      <c r="U16" s="115">
        <f t="shared" si="8"/>
        <v>0</v>
      </c>
      <c r="V16" s="116"/>
      <c r="W16" s="113">
        <v>5000</v>
      </c>
      <c r="X16" s="114">
        <f t="shared" si="9"/>
        <v>71250</v>
      </c>
      <c r="Y16" s="115">
        <f t="shared" si="10"/>
        <v>85500</v>
      </c>
      <c r="AA16" s="113">
        <v>0</v>
      </c>
      <c r="AB16" s="114">
        <f t="shared" si="11"/>
        <v>0</v>
      </c>
      <c r="AC16" s="115">
        <f t="shared" si="12"/>
        <v>0</v>
      </c>
    </row>
    <row r="17" spans="1:29" ht="41" customHeight="1" thickBot="1" x14ac:dyDescent="0.3">
      <c r="A17" s="111">
        <v>4</v>
      </c>
      <c r="B17" s="389" t="s">
        <v>490</v>
      </c>
      <c r="C17" s="388" t="s">
        <v>211</v>
      </c>
      <c r="D17" s="345">
        <v>16.57</v>
      </c>
      <c r="E17" s="162">
        <f t="shared" si="0"/>
        <v>19.88</v>
      </c>
      <c r="G17" s="113">
        <v>0</v>
      </c>
      <c r="H17" s="114">
        <f t="shared" si="1"/>
        <v>0</v>
      </c>
      <c r="I17" s="115">
        <f t="shared" si="2"/>
        <v>0</v>
      </c>
      <c r="J17" s="116"/>
      <c r="K17" s="113">
        <v>0</v>
      </c>
      <c r="L17" s="114">
        <f t="shared" si="3"/>
        <v>0</v>
      </c>
      <c r="M17" s="115">
        <f t="shared" si="4"/>
        <v>0</v>
      </c>
      <c r="O17" s="113">
        <v>0</v>
      </c>
      <c r="P17" s="114">
        <f t="shared" si="5"/>
        <v>0</v>
      </c>
      <c r="Q17" s="115">
        <f t="shared" si="6"/>
        <v>0</v>
      </c>
      <c r="S17" s="113">
        <v>0</v>
      </c>
      <c r="T17" s="114">
        <f t="shared" si="7"/>
        <v>0</v>
      </c>
      <c r="U17" s="115">
        <f t="shared" si="8"/>
        <v>0</v>
      </c>
      <c r="V17" s="116"/>
      <c r="W17" s="113">
        <v>90</v>
      </c>
      <c r="X17" s="114">
        <f t="shared" si="9"/>
        <v>1491.3</v>
      </c>
      <c r="Y17" s="115">
        <f t="shared" si="10"/>
        <v>1789.56</v>
      </c>
      <c r="AA17" s="113">
        <v>0</v>
      </c>
      <c r="AB17" s="114">
        <f t="shared" si="11"/>
        <v>0</v>
      </c>
      <c r="AC17" s="115">
        <f t="shared" si="12"/>
        <v>0</v>
      </c>
    </row>
    <row r="18" spans="1:29" ht="41" customHeight="1" thickBot="1" x14ac:dyDescent="0.3">
      <c r="A18" s="111">
        <v>5</v>
      </c>
      <c r="B18" s="387" t="s">
        <v>491</v>
      </c>
      <c r="C18" s="388" t="s">
        <v>212</v>
      </c>
      <c r="D18" s="345">
        <v>0.45</v>
      </c>
      <c r="E18" s="162">
        <f t="shared" si="0"/>
        <v>0.54</v>
      </c>
      <c r="G18" s="113">
        <v>0</v>
      </c>
      <c r="H18" s="114">
        <f t="shared" si="1"/>
        <v>0</v>
      </c>
      <c r="I18" s="115">
        <f t="shared" si="2"/>
        <v>0</v>
      </c>
      <c r="J18" s="116"/>
      <c r="K18" s="113">
        <v>0</v>
      </c>
      <c r="L18" s="114">
        <f t="shared" si="3"/>
        <v>0</v>
      </c>
      <c r="M18" s="115">
        <f t="shared" si="4"/>
        <v>0</v>
      </c>
      <c r="O18" s="113">
        <v>0</v>
      </c>
      <c r="P18" s="114">
        <f t="shared" si="5"/>
        <v>0</v>
      </c>
      <c r="Q18" s="115">
        <f t="shared" si="6"/>
        <v>0</v>
      </c>
      <c r="S18" s="113">
        <v>0</v>
      </c>
      <c r="T18" s="114">
        <f t="shared" si="7"/>
        <v>0</v>
      </c>
      <c r="U18" s="115">
        <f t="shared" si="8"/>
        <v>0</v>
      </c>
      <c r="V18" s="116"/>
      <c r="W18" s="113">
        <v>450</v>
      </c>
      <c r="X18" s="114">
        <f t="shared" si="9"/>
        <v>202.5</v>
      </c>
      <c r="Y18" s="115">
        <f t="shared" si="10"/>
        <v>243</v>
      </c>
      <c r="AA18" s="113">
        <v>0</v>
      </c>
      <c r="AB18" s="114">
        <f t="shared" si="11"/>
        <v>0</v>
      </c>
      <c r="AC18" s="115">
        <f t="shared" si="12"/>
        <v>0</v>
      </c>
    </row>
    <row r="19" spans="1:29" ht="41" customHeight="1" thickBot="1" x14ac:dyDescent="0.3">
      <c r="A19" s="111">
        <v>6</v>
      </c>
      <c r="B19" s="387" t="s">
        <v>492</v>
      </c>
      <c r="C19" s="388" t="s">
        <v>212</v>
      </c>
      <c r="D19" s="345">
        <v>0.55000000000000004</v>
      </c>
      <c r="E19" s="162">
        <f t="shared" si="0"/>
        <v>0.66</v>
      </c>
      <c r="G19" s="113">
        <v>0</v>
      </c>
      <c r="H19" s="114">
        <f t="shared" si="1"/>
        <v>0</v>
      </c>
      <c r="I19" s="115">
        <f t="shared" si="2"/>
        <v>0</v>
      </c>
      <c r="J19" s="116"/>
      <c r="K19" s="113">
        <v>0</v>
      </c>
      <c r="L19" s="114">
        <f t="shared" si="3"/>
        <v>0</v>
      </c>
      <c r="M19" s="115">
        <f t="shared" si="4"/>
        <v>0</v>
      </c>
      <c r="O19" s="113">
        <v>0</v>
      </c>
      <c r="P19" s="114">
        <f t="shared" si="5"/>
        <v>0</v>
      </c>
      <c r="Q19" s="115">
        <f t="shared" si="6"/>
        <v>0</v>
      </c>
      <c r="S19" s="113">
        <v>0</v>
      </c>
      <c r="T19" s="114">
        <f t="shared" si="7"/>
        <v>0</v>
      </c>
      <c r="U19" s="115">
        <f t="shared" si="8"/>
        <v>0</v>
      </c>
      <c r="V19" s="116"/>
      <c r="W19" s="113">
        <v>450</v>
      </c>
      <c r="X19" s="114">
        <f t="shared" si="9"/>
        <v>247.5</v>
      </c>
      <c r="Y19" s="115">
        <f t="shared" si="10"/>
        <v>297</v>
      </c>
      <c r="AA19" s="113">
        <v>0</v>
      </c>
      <c r="AB19" s="114">
        <f t="shared" si="11"/>
        <v>0</v>
      </c>
      <c r="AC19" s="115">
        <f t="shared" si="12"/>
        <v>0</v>
      </c>
    </row>
    <row r="20" spans="1:29" ht="41" customHeight="1" thickBot="1" x14ac:dyDescent="0.3">
      <c r="A20" s="111">
        <v>7</v>
      </c>
      <c r="B20" s="387" t="s">
        <v>493</v>
      </c>
      <c r="C20" s="388"/>
      <c r="D20" s="345">
        <v>0</v>
      </c>
      <c r="E20" s="162">
        <f t="shared" si="0"/>
        <v>0</v>
      </c>
      <c r="G20" s="113">
        <v>0</v>
      </c>
      <c r="H20" s="114">
        <f t="shared" si="1"/>
        <v>0</v>
      </c>
      <c r="I20" s="115">
        <f t="shared" si="2"/>
        <v>0</v>
      </c>
      <c r="J20" s="116"/>
      <c r="K20" s="113">
        <v>0</v>
      </c>
      <c r="L20" s="114">
        <f t="shared" si="3"/>
        <v>0</v>
      </c>
      <c r="M20" s="115">
        <f t="shared" si="4"/>
        <v>0</v>
      </c>
      <c r="O20" s="113">
        <v>0</v>
      </c>
      <c r="P20" s="114">
        <f t="shared" si="5"/>
        <v>0</v>
      </c>
      <c r="Q20" s="115">
        <f t="shared" si="6"/>
        <v>0</v>
      </c>
      <c r="S20" s="113">
        <v>0</v>
      </c>
      <c r="T20" s="114">
        <f t="shared" si="7"/>
        <v>0</v>
      </c>
      <c r="U20" s="115">
        <f t="shared" si="8"/>
        <v>0</v>
      </c>
      <c r="V20" s="116"/>
      <c r="W20" s="113">
        <v>0</v>
      </c>
      <c r="X20" s="114">
        <f t="shared" si="9"/>
        <v>0</v>
      </c>
      <c r="Y20" s="115">
        <f t="shared" si="10"/>
        <v>0</v>
      </c>
      <c r="AA20" s="113">
        <v>0</v>
      </c>
      <c r="AB20" s="114">
        <f t="shared" si="11"/>
        <v>0</v>
      </c>
      <c r="AC20" s="115">
        <f t="shared" si="12"/>
        <v>0</v>
      </c>
    </row>
    <row r="21" spans="1:29" ht="41" customHeight="1" thickBot="1" x14ac:dyDescent="0.3">
      <c r="A21" s="111">
        <v>8</v>
      </c>
      <c r="B21" s="387" t="s">
        <v>493</v>
      </c>
      <c r="C21" s="388"/>
      <c r="D21" s="345">
        <v>1</v>
      </c>
      <c r="E21" s="162">
        <f t="shared" ref="E21:E23" si="13">ROUND(PRODUCT(D21,1+$E$11),2)</f>
        <v>1.2</v>
      </c>
      <c r="G21" s="113">
        <v>0</v>
      </c>
      <c r="H21" s="114">
        <f t="shared" ref="H21:H23" si="14">ROUND(G21*D21,2)</f>
        <v>0</v>
      </c>
      <c r="I21" s="115">
        <f t="shared" ref="I21:I23" si="15">ROUND(G21*((D21*(1+$E$11))),2)</f>
        <v>0</v>
      </c>
      <c r="J21" s="116"/>
      <c r="K21" s="113">
        <v>0</v>
      </c>
      <c r="L21" s="114">
        <f t="shared" ref="L21:L23" si="16">ROUND(K21*D21,2)</f>
        <v>0</v>
      </c>
      <c r="M21" s="115">
        <f t="shared" ref="M21:M23" si="17">ROUND(K21*((D21*(1+$E$11))),2)</f>
        <v>0</v>
      </c>
      <c r="O21" s="113">
        <v>0</v>
      </c>
      <c r="P21" s="114">
        <f t="shared" ref="P21:P23" si="18">ROUND(O21*D21,2)</f>
        <v>0</v>
      </c>
      <c r="Q21" s="115">
        <f t="shared" ref="Q21:Q23" si="19">ROUND(O21*((D21*(1+$E$11))),2)</f>
        <v>0</v>
      </c>
      <c r="S21" s="113">
        <v>0</v>
      </c>
      <c r="T21" s="114">
        <f t="shared" ref="T21:T23" si="20">ROUND(S21*D21,2)</f>
        <v>0</v>
      </c>
      <c r="U21" s="115">
        <f t="shared" ref="U21:U23" si="21">ROUND(S21*((D21*(1+$E$11))),2)</f>
        <v>0</v>
      </c>
      <c r="V21" s="116"/>
      <c r="W21" s="113">
        <v>0</v>
      </c>
      <c r="X21" s="114">
        <f t="shared" ref="X21:X23" si="22">ROUND(W21*D21,2)</f>
        <v>0</v>
      </c>
      <c r="Y21" s="115">
        <f t="shared" ref="Y21:Y23" si="23">ROUND(W21*((D21*(1+$E$11))),2)</f>
        <v>0</v>
      </c>
      <c r="AA21" s="113">
        <v>0</v>
      </c>
      <c r="AB21" s="114">
        <f t="shared" ref="AB21:AB23" si="24">ROUND(AA21*D21,2)</f>
        <v>0</v>
      </c>
      <c r="AC21" s="115">
        <f t="shared" ref="AC21:AC23" si="25">ROUND(AA21*((D21*(1+$E$11))),2)</f>
        <v>0</v>
      </c>
    </row>
    <row r="22" spans="1:29" ht="41" customHeight="1" thickBot="1" x14ac:dyDescent="0.3">
      <c r="A22" s="111">
        <v>9</v>
      </c>
      <c r="B22" s="348" t="s">
        <v>361</v>
      </c>
      <c r="C22" s="163" t="s">
        <v>362</v>
      </c>
      <c r="D22" s="345">
        <v>2</v>
      </c>
      <c r="E22" s="162">
        <f t="shared" si="13"/>
        <v>2.4</v>
      </c>
      <c r="G22" s="113">
        <v>0</v>
      </c>
      <c r="H22" s="114">
        <f t="shared" si="14"/>
        <v>0</v>
      </c>
      <c r="I22" s="115">
        <f t="shared" si="15"/>
        <v>0</v>
      </c>
      <c r="J22" s="116"/>
      <c r="K22" s="113">
        <v>0</v>
      </c>
      <c r="L22" s="114">
        <f t="shared" si="16"/>
        <v>0</v>
      </c>
      <c r="M22" s="115">
        <f t="shared" si="17"/>
        <v>0</v>
      </c>
      <c r="O22" s="113">
        <v>0</v>
      </c>
      <c r="P22" s="114">
        <f t="shared" si="18"/>
        <v>0</v>
      </c>
      <c r="Q22" s="115">
        <f t="shared" si="19"/>
        <v>0</v>
      </c>
      <c r="S22" s="113">
        <v>0</v>
      </c>
      <c r="T22" s="114">
        <f t="shared" si="20"/>
        <v>0</v>
      </c>
      <c r="U22" s="115">
        <f t="shared" si="21"/>
        <v>0</v>
      </c>
      <c r="V22" s="116"/>
      <c r="W22" s="113">
        <v>0</v>
      </c>
      <c r="X22" s="114">
        <f t="shared" si="22"/>
        <v>0</v>
      </c>
      <c r="Y22" s="115">
        <f t="shared" si="23"/>
        <v>0</v>
      </c>
      <c r="AA22" s="113">
        <v>0</v>
      </c>
      <c r="AB22" s="114">
        <f t="shared" si="24"/>
        <v>0</v>
      </c>
      <c r="AC22" s="115">
        <f t="shared" si="25"/>
        <v>0</v>
      </c>
    </row>
    <row r="23" spans="1:29" ht="41" customHeight="1" thickBot="1" x14ac:dyDescent="0.3">
      <c r="A23" s="111">
        <v>10</v>
      </c>
      <c r="B23" s="348" t="s">
        <v>363</v>
      </c>
      <c r="C23" s="163" t="s">
        <v>362</v>
      </c>
      <c r="D23" s="345">
        <v>3</v>
      </c>
      <c r="E23" s="162">
        <f t="shared" si="13"/>
        <v>3.6</v>
      </c>
      <c r="G23" s="113">
        <v>0</v>
      </c>
      <c r="H23" s="114">
        <f t="shared" si="14"/>
        <v>0</v>
      </c>
      <c r="I23" s="115">
        <f t="shared" si="15"/>
        <v>0</v>
      </c>
      <c r="J23" s="116"/>
      <c r="K23" s="113">
        <v>0</v>
      </c>
      <c r="L23" s="114">
        <f t="shared" si="16"/>
        <v>0</v>
      </c>
      <c r="M23" s="115">
        <f t="shared" si="17"/>
        <v>0</v>
      </c>
      <c r="O23" s="113">
        <v>0</v>
      </c>
      <c r="P23" s="114">
        <f t="shared" si="18"/>
        <v>0</v>
      </c>
      <c r="Q23" s="115">
        <f t="shared" si="19"/>
        <v>0</v>
      </c>
      <c r="S23" s="113">
        <v>0</v>
      </c>
      <c r="T23" s="114">
        <f t="shared" si="20"/>
        <v>0</v>
      </c>
      <c r="U23" s="115">
        <f t="shared" si="21"/>
        <v>0</v>
      </c>
      <c r="V23" s="116"/>
      <c r="W23" s="113">
        <v>0</v>
      </c>
      <c r="X23" s="114">
        <f t="shared" si="22"/>
        <v>0</v>
      </c>
      <c r="Y23" s="115">
        <f t="shared" si="23"/>
        <v>0</v>
      </c>
      <c r="AA23" s="113">
        <v>0</v>
      </c>
      <c r="AB23" s="114">
        <f t="shared" si="24"/>
        <v>0</v>
      </c>
      <c r="AC23" s="115">
        <f t="shared" si="25"/>
        <v>0</v>
      </c>
    </row>
    <row r="24" spans="1:29" ht="18" customHeight="1" x14ac:dyDescent="0.25"/>
    <row r="26" spans="1:29" ht="13" thickBot="1" x14ac:dyDescent="0.3"/>
    <row r="27" spans="1:29" ht="33" customHeight="1" thickBot="1" x14ac:dyDescent="0.45">
      <c r="B27" s="164" t="s">
        <v>364</v>
      </c>
      <c r="C27" s="165"/>
      <c r="D27" s="166"/>
      <c r="E27" s="167"/>
      <c r="F27" s="168"/>
      <c r="G27" s="168"/>
      <c r="H27" s="168"/>
      <c r="I27" s="168"/>
      <c r="J27" s="168"/>
      <c r="L27" s="168"/>
    </row>
    <row r="28" spans="1:29" ht="33" customHeight="1" thickBot="1" x14ac:dyDescent="0.45">
      <c r="B28" s="169"/>
      <c r="C28" s="170"/>
      <c r="D28" s="168"/>
      <c r="E28" s="168"/>
      <c r="F28" s="168"/>
      <c r="G28" s="168"/>
      <c r="H28" s="168"/>
      <c r="I28" s="168"/>
      <c r="J28" s="168"/>
      <c r="L28" s="168"/>
    </row>
    <row r="29" spans="1:29" ht="33" customHeight="1" x14ac:dyDescent="0.4">
      <c r="B29" s="171" t="s">
        <v>47</v>
      </c>
      <c r="C29" s="172"/>
      <c r="D29" s="173"/>
      <c r="E29" s="174"/>
      <c r="F29" s="168"/>
      <c r="G29" s="168"/>
      <c r="H29" s="168"/>
      <c r="I29" s="168"/>
      <c r="J29" s="168"/>
      <c r="L29" s="168"/>
    </row>
    <row r="30" spans="1:29" ht="33" customHeight="1" x14ac:dyDescent="0.4">
      <c r="B30" s="175" t="s">
        <v>365</v>
      </c>
      <c r="C30" s="170"/>
      <c r="D30" s="176"/>
      <c r="E30" s="177"/>
      <c r="F30" s="168"/>
      <c r="G30" s="168"/>
      <c r="H30" s="168"/>
      <c r="I30" s="168"/>
      <c r="J30" s="168"/>
      <c r="L30" s="168"/>
    </row>
    <row r="31" spans="1:29" ht="33" customHeight="1" x14ac:dyDescent="0.4">
      <c r="B31" s="175" t="s">
        <v>366</v>
      </c>
      <c r="C31" s="178"/>
      <c r="D31" s="176"/>
      <c r="E31" s="177"/>
      <c r="F31" s="168"/>
      <c r="G31" s="168"/>
      <c r="H31" s="168"/>
      <c r="I31" s="168"/>
      <c r="J31" s="168"/>
      <c r="L31" s="168"/>
    </row>
    <row r="32" spans="1:29" ht="33" customHeight="1" x14ac:dyDescent="0.4">
      <c r="B32" s="175" t="s">
        <v>367</v>
      </c>
      <c r="C32" s="178"/>
      <c r="D32" s="176"/>
      <c r="E32" s="177"/>
      <c r="F32" s="168"/>
      <c r="G32" s="168"/>
      <c r="H32" s="168"/>
      <c r="I32" s="168"/>
      <c r="J32" s="168"/>
      <c r="L32" s="168"/>
    </row>
    <row r="33" spans="2:12" ht="33" customHeight="1" x14ac:dyDescent="0.4">
      <c r="B33" s="175" t="s">
        <v>368</v>
      </c>
      <c r="C33" s="170"/>
      <c r="D33" s="176"/>
      <c r="E33" s="177"/>
      <c r="F33" s="168"/>
      <c r="G33" s="168"/>
      <c r="H33" s="168"/>
      <c r="I33" s="168"/>
      <c r="J33" s="168"/>
      <c r="L33" s="168"/>
    </row>
    <row r="34" spans="2:12" ht="33" customHeight="1" x14ac:dyDescent="0.4">
      <c r="B34" s="175" t="s">
        <v>369</v>
      </c>
      <c r="C34" s="170"/>
      <c r="D34" s="176"/>
      <c r="E34" s="177"/>
      <c r="F34" s="168"/>
      <c r="G34" s="168"/>
      <c r="H34" s="168"/>
      <c r="I34" s="168"/>
      <c r="J34" s="168"/>
      <c r="K34" s="168"/>
      <c r="L34" s="168"/>
    </row>
    <row r="35" spans="2:12" ht="33" customHeight="1" x14ac:dyDescent="0.4">
      <c r="B35" s="175" t="s">
        <v>370</v>
      </c>
      <c r="C35" s="170"/>
      <c r="D35" s="176"/>
      <c r="E35" s="177"/>
      <c r="F35" s="168"/>
      <c r="G35" s="168"/>
      <c r="H35" s="168"/>
      <c r="I35" s="168"/>
      <c r="J35" s="168"/>
      <c r="K35" s="168"/>
      <c r="L35" s="168"/>
    </row>
    <row r="36" spans="2:12" ht="33" customHeight="1" thickBot="1" x14ac:dyDescent="0.45">
      <c r="B36" s="179" t="s">
        <v>377</v>
      </c>
      <c r="C36" s="180" t="s">
        <v>372</v>
      </c>
      <c r="D36" s="181"/>
      <c r="E36" s="182"/>
      <c r="F36" s="168"/>
      <c r="G36" s="168"/>
      <c r="H36" s="168"/>
      <c r="I36" s="168"/>
      <c r="J36" s="168"/>
      <c r="K36" s="168"/>
      <c r="L36" s="168"/>
    </row>
    <row r="37" spans="2:12" ht="33" customHeight="1" thickBot="1" x14ac:dyDescent="0.45">
      <c r="B37" s="169"/>
      <c r="C37" s="168"/>
      <c r="D37" s="168"/>
      <c r="E37" s="168"/>
      <c r="F37" s="168"/>
      <c r="G37" s="168"/>
      <c r="H37" s="168"/>
      <c r="I37" s="168"/>
      <c r="J37" s="168"/>
      <c r="K37" s="168"/>
      <c r="L37" s="168"/>
    </row>
    <row r="38" spans="2:12" ht="33" customHeight="1" x14ac:dyDescent="0.4">
      <c r="B38" s="171" t="s">
        <v>373</v>
      </c>
      <c r="C38" s="173"/>
      <c r="D38" s="173"/>
      <c r="E38" s="173"/>
      <c r="F38" s="173"/>
      <c r="G38" s="173"/>
      <c r="H38" s="173"/>
      <c r="I38" s="173"/>
      <c r="J38" s="173"/>
      <c r="K38" s="173"/>
      <c r="L38" s="174"/>
    </row>
    <row r="39" spans="2:12" ht="33" customHeight="1" x14ac:dyDescent="0.4">
      <c r="B39" s="175" t="s">
        <v>374</v>
      </c>
      <c r="C39" s="176"/>
      <c r="D39" s="176"/>
      <c r="E39" s="176"/>
      <c r="F39" s="176"/>
      <c r="G39" s="176"/>
      <c r="H39" s="176"/>
      <c r="I39" s="176"/>
      <c r="J39" s="176"/>
      <c r="K39" s="176"/>
      <c r="L39" s="177"/>
    </row>
    <row r="40" spans="2:12" ht="33" customHeight="1" thickBot="1" x14ac:dyDescent="0.45">
      <c r="B40" s="183" t="s">
        <v>375</v>
      </c>
      <c r="C40" s="181"/>
      <c r="D40" s="181"/>
      <c r="E40" s="181"/>
      <c r="F40" s="181"/>
      <c r="G40" s="181"/>
      <c r="H40" s="181"/>
      <c r="I40" s="181"/>
      <c r="J40" s="181"/>
      <c r="K40" s="181"/>
      <c r="L40" s="182"/>
    </row>
  </sheetData>
  <autoFilter ref="B13:Y23"/>
  <mergeCells count="21">
    <mergeCell ref="B1:E1"/>
    <mergeCell ref="H4:I4"/>
    <mergeCell ref="L4:M4"/>
    <mergeCell ref="P4:Q4"/>
    <mergeCell ref="T4:U4"/>
    <mergeCell ref="AB4:AC4"/>
    <mergeCell ref="G10:Q10"/>
    <mergeCell ref="S10:AC10"/>
    <mergeCell ref="G11:Q11"/>
    <mergeCell ref="S11:AC11"/>
    <mergeCell ref="X4:Y4"/>
    <mergeCell ref="C6:E6"/>
    <mergeCell ref="G7:AD7"/>
    <mergeCell ref="G8:AD8"/>
    <mergeCell ref="G9:AD9"/>
    <mergeCell ref="AA12:AC12"/>
    <mergeCell ref="G12:I12"/>
    <mergeCell ref="K12:M12"/>
    <mergeCell ref="O12:Q12"/>
    <mergeCell ref="S12:U12"/>
    <mergeCell ref="W12:Y12"/>
  </mergeCells>
  <conditionalFormatting sqref="D20:D23 E14:E23">
    <cfRule type="cellIs" dxfId="18" priority="63" operator="greaterThan">
      <formula>0</formula>
    </cfRule>
    <cfRule type="cellIs" dxfId="17" priority="64" operator="equal">
      <formula>0</formula>
    </cfRule>
  </conditionalFormatting>
  <conditionalFormatting sqref="W14:Y23 G14:I23 K14:M23 O14:Q23 S14:U23 AA14:AC23">
    <cfRule type="cellIs" dxfId="16" priority="33" operator="equal">
      <formula>0</formula>
    </cfRule>
    <cfRule type="cellIs" dxfId="15" priority="34" operator="greaterThan">
      <formula>0</formula>
    </cfRule>
  </conditionalFormatting>
  <conditionalFormatting sqref="H6:I6">
    <cfRule type="cellIs" dxfId="14" priority="23" operator="equal">
      <formula>0</formula>
    </cfRule>
    <cfRule type="cellIs" dxfId="13" priority="24" operator="greaterThan">
      <formula>0</formula>
    </cfRule>
  </conditionalFormatting>
  <conditionalFormatting sqref="D14:D19">
    <cfRule type="cellIs" dxfId="12" priority="25" operator="greaterThan">
      <formula>0</formula>
    </cfRule>
    <cfRule type="cellIs" dxfId="11" priority="26" operator="equal">
      <formula>0</formula>
    </cfRule>
  </conditionalFormatting>
  <conditionalFormatting sqref="T6:U6">
    <cfRule type="cellIs" dxfId="10" priority="17" operator="equal">
      <formula>0</formula>
    </cfRule>
    <cfRule type="cellIs" dxfId="9" priority="18" operator="greaterThan">
      <formula>0</formula>
    </cfRule>
  </conditionalFormatting>
  <conditionalFormatting sqref="L6:M6">
    <cfRule type="cellIs" dxfId="8" priority="21" operator="equal">
      <formula>0</formula>
    </cfRule>
    <cfRule type="cellIs" dxfId="7" priority="22" operator="greaterThan">
      <formula>0</formula>
    </cfRule>
  </conditionalFormatting>
  <conditionalFormatting sqref="P6:Q6">
    <cfRule type="cellIs" dxfId="6" priority="19" operator="equal">
      <formula>0</formula>
    </cfRule>
    <cfRule type="cellIs" dxfId="5" priority="20" operator="greaterThan">
      <formula>0</formula>
    </cfRule>
  </conditionalFormatting>
  <conditionalFormatting sqref="X6:Y6">
    <cfRule type="cellIs" dxfId="4" priority="15" operator="equal">
      <formula>0</formula>
    </cfRule>
    <cfRule type="cellIs" dxfId="3" priority="16" operator="greaterThan">
      <formula>0</formula>
    </cfRule>
  </conditionalFormatting>
  <conditionalFormatting sqref="AB6:AC6">
    <cfRule type="cellIs" dxfId="2" priority="13" operator="equal">
      <formula>0</formula>
    </cfRule>
    <cfRule type="cellIs" dxfId="1" priority="14" operator="greaterThan">
      <formula>0</formula>
    </cfRule>
  </conditionalFormatting>
  <dataValidations xWindow="344" yWindow="611" count="5">
    <dataValidation type="textLength" allowBlank="1" showInputMessage="1" showErrorMessage="1" error="CHARTE EXCEL DU DOCUMENT / NE PAS MODIFIER !" prompt="CHARTE EXCEL DU DOCUMENT / NE PAS MODIFIER !" sqref="B1:E7 B24:AC26 B9:E13 F2:F13 G1:G13 J1:K13 L1:M5 N1:O13 P1:Q5 R1:S13 T1:U5 V1:W13 X1:Y5 Z1:AA13 AD1:AD13 AB1:AC5 H1:I23 AB7:AC23 X7:Y23 T7:U23 P7:Q23 L7:M23 L6:M6 P6:Q6 T6:U6 X6:Y6">
      <formula1>1000</formula1>
      <formula2>1000</formula2>
    </dataValidation>
    <dataValidation type="textLength" allowBlank="1" showInputMessage="1" showErrorMessage="1" error="LA MISE A JOUR EST À EFFECTUER DANS L'APPENDICE 2." prompt="LA MISE A JOUR EST À EFFECTUER DANS L'APPENDICE 2." sqref="B8:E8">
      <formula1>1000</formula1>
      <formula2>1000</formula2>
    </dataValidation>
    <dataValidation type="textLength" allowBlank="1" showInputMessage="1" showErrorMessage="1" error="ACHETEUR : MASQUER L'ONGLET POUR L'APPEL D'OFFRES." prompt="ACHETEUR : MASQUER L'ONGLET POUR L'APPEL D'OFFRES." sqref="F1">
      <formula1>1000</formula1>
      <formula2>1000</formula2>
    </dataValidation>
    <dataValidation type="textLength" allowBlank="1" showInputMessage="1" showErrorMessage="1" error="CHARTE EXCEL DU DOCUMENT / NE PAS MODIFIER !" prompt="CHARTE EXCEL DU DOCUMENT / NE PAS MODIFIER !" sqref="AB6:AC6">
      <formula1>1000</formula1>
      <formula2>1000</formula2>
    </dataValidation>
    <dataValidation allowBlank="1" showInputMessage="1" showErrorMessage="1" prompt="SEUL L'ACHETEUR EST AUTORISÉ À METTRE À JOUR !" sqref="D14:D23"/>
  </dataValidations>
  <pageMargins left="0.70866141732283472" right="0.70866141732283472" top="0.74803149606299213" bottom="0.74803149606299213" header="0.31496062992125984" footer="0.31496062992125984"/>
  <pageSetup paperSize="8" scale="50" orientation="landscape"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2:K19"/>
  <sheetViews>
    <sheetView view="pageBreakPreview" zoomScale="130" zoomScaleNormal="130" zoomScaleSheetLayoutView="130" workbookViewId="0">
      <selection activeCell="A2" sqref="A2:XFD2"/>
    </sheetView>
  </sheetViews>
  <sheetFormatPr baseColWidth="10" defaultColWidth="11.453125" defaultRowHeight="14" x14ac:dyDescent="0.3"/>
  <cols>
    <col min="1" max="1" width="3.1796875" style="92" customWidth="1"/>
    <col min="2" max="2" width="70" style="92" customWidth="1"/>
    <col min="3" max="3" width="11.453125" style="92"/>
    <col min="4" max="4" width="14.7265625" style="92" customWidth="1"/>
    <col min="5" max="5" width="11.453125" style="92"/>
    <col min="6" max="6" width="19.36328125" style="92" customWidth="1"/>
    <col min="7" max="16384" width="11.453125" style="92"/>
  </cols>
  <sheetData>
    <row r="2" spans="2:11" ht="37.5" customHeight="1" x14ac:dyDescent="0.3">
      <c r="B2" s="204" t="s">
        <v>500</v>
      </c>
      <c r="C2" s="134"/>
      <c r="D2" s="134"/>
      <c r="E2" s="134"/>
      <c r="F2" s="134"/>
      <c r="G2" s="134"/>
      <c r="H2" s="134"/>
      <c r="I2" s="134"/>
      <c r="J2" s="134"/>
      <c r="K2" s="134"/>
    </row>
    <row r="3" spans="2:11" x14ac:dyDescent="0.3">
      <c r="B3" s="547" t="s">
        <v>86</v>
      </c>
      <c r="C3" s="547"/>
      <c r="D3" s="547"/>
      <c r="E3" s="547"/>
      <c r="F3" s="547"/>
      <c r="G3" s="547"/>
      <c r="H3" s="547"/>
      <c r="I3" s="547"/>
      <c r="J3" s="547"/>
      <c r="K3" s="547"/>
    </row>
    <row r="4" spans="2:11" ht="14.5" thickBot="1" x14ac:dyDescent="0.35"/>
    <row r="5" spans="2:11" ht="23.5" thickBot="1" x14ac:dyDescent="0.35">
      <c r="B5" s="548" t="s">
        <v>378</v>
      </c>
      <c r="C5" s="549"/>
      <c r="E5" s="314" t="s">
        <v>403</v>
      </c>
      <c r="F5" s="350">
        <v>45580</v>
      </c>
      <c r="G5" s="315" t="s">
        <v>402</v>
      </c>
    </row>
    <row r="6" spans="2:11" x14ac:dyDescent="0.3">
      <c r="B6" s="184" t="s">
        <v>75</v>
      </c>
      <c r="C6" s="83">
        <v>12.13</v>
      </c>
    </row>
    <row r="7" spans="2:11" x14ac:dyDescent="0.3">
      <c r="B7" s="81" t="s">
        <v>379</v>
      </c>
      <c r="C7" s="185">
        <f>C6*1.3</f>
        <v>15.769000000000002</v>
      </c>
      <c r="E7" s="186"/>
    </row>
    <row r="8" spans="2:11" x14ac:dyDescent="0.3">
      <c r="B8" s="81" t="s">
        <v>44</v>
      </c>
      <c r="C8" s="187">
        <v>0.03</v>
      </c>
      <c r="D8" s="188"/>
      <c r="E8" s="188"/>
      <c r="F8" s="189"/>
    </row>
    <row r="9" spans="2:11" x14ac:dyDescent="0.3">
      <c r="B9" s="81" t="s">
        <v>45</v>
      </c>
      <c r="C9" s="187">
        <v>1.4999999999999999E-2</v>
      </c>
      <c r="D9" s="188"/>
      <c r="E9" s="188"/>
      <c r="F9" s="189"/>
      <c r="G9" s="188"/>
    </row>
    <row r="10" spans="2:11" ht="14.5" thickBot="1" x14ac:dyDescent="0.35">
      <c r="B10" s="190" t="s">
        <v>380</v>
      </c>
      <c r="C10" s="191">
        <v>0.1</v>
      </c>
      <c r="D10" s="188"/>
      <c r="E10" s="188"/>
      <c r="F10" s="192"/>
    </row>
    <row r="11" spans="2:11" ht="15" thickTop="1" thickBot="1" x14ac:dyDescent="0.35">
      <c r="B11" s="190" t="s">
        <v>43</v>
      </c>
      <c r="C11" s="191">
        <v>0.2</v>
      </c>
      <c r="D11" s="188"/>
      <c r="E11" s="188"/>
      <c r="F11" s="193"/>
    </row>
    <row r="12" spans="2:11" ht="14.5" thickTop="1" x14ac:dyDescent="0.3">
      <c r="B12" s="194" t="s">
        <v>57</v>
      </c>
      <c r="C12" s="195">
        <f>C7*(1+C8)*(1+C9)*(1+C10)*(1+C11)</f>
        <v>21.761125386</v>
      </c>
      <c r="E12" s="188"/>
      <c r="F12" s="193"/>
      <c r="G12" s="188"/>
    </row>
    <row r="13" spans="2:11" x14ac:dyDescent="0.3">
      <c r="B13" s="81" t="s">
        <v>381</v>
      </c>
      <c r="C13" s="187">
        <v>0.185</v>
      </c>
      <c r="F13" s="193"/>
      <c r="G13" s="188"/>
    </row>
    <row r="14" spans="2:11" ht="14.5" thickBot="1" x14ac:dyDescent="0.35">
      <c r="B14" s="196" t="s">
        <v>58</v>
      </c>
      <c r="C14" s="197">
        <f>ROUND(C12*(1+C13),2)</f>
        <v>25.79</v>
      </c>
      <c r="E14" s="188"/>
    </row>
    <row r="15" spans="2:11" ht="14.5" thickBot="1" x14ac:dyDescent="0.35"/>
    <row r="16" spans="2:11" ht="14.5" thickBot="1" x14ac:dyDescent="0.35">
      <c r="B16" s="198" t="s">
        <v>60</v>
      </c>
      <c r="C16" s="199">
        <v>0.1</v>
      </c>
    </row>
    <row r="17" spans="2:5" x14ac:dyDescent="0.3">
      <c r="B17" s="200"/>
    </row>
    <row r="18" spans="2:5" x14ac:dyDescent="0.3">
      <c r="E18" s="201"/>
    </row>
    <row r="19" spans="2:5" x14ac:dyDescent="0.3">
      <c r="E19" s="201"/>
    </row>
  </sheetData>
  <sheetProtection selectLockedCells="1" selectUnlockedCells="1"/>
  <mergeCells count="2">
    <mergeCell ref="B3:K3"/>
    <mergeCell ref="B5:C5"/>
  </mergeCells>
  <dataValidations count="1">
    <dataValidation type="textLength" allowBlank="1" showInputMessage="1" showErrorMessage="1" error="ACHETEUR : PROTÉGER LA FEUILLE + MASQUER ONGLET POUR GS + POUR L'APPEL D'OFFRES." prompt="ACHETEUR : PROTÉGER LA FEUILLE + MASQUER ONGLET POUR GS + POUR L'APPEL D'OFFRES." sqref="B2">
      <formula1>1000</formula1>
      <formula2>1000</formula2>
    </dataValidation>
  </dataValidations>
  <pageMargins left="0.7" right="0.7" top="0.75" bottom="0.75" header="0.3" footer="0.3"/>
  <pageSetup paperSize="9" scale="46"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V70"/>
  <sheetViews>
    <sheetView zoomScale="70" zoomScaleNormal="70" workbookViewId="0">
      <selection activeCell="A47" sqref="A47:L47"/>
    </sheetView>
  </sheetViews>
  <sheetFormatPr baseColWidth="10" defaultColWidth="11.453125" defaultRowHeight="14" x14ac:dyDescent="0.35"/>
  <cols>
    <col min="1" max="1" width="33.54296875" style="25" customWidth="1"/>
    <col min="2" max="2" width="19.1796875" style="25" customWidth="1"/>
    <col min="3" max="3" width="54.453125" style="25" customWidth="1"/>
    <col min="4" max="4" width="20.7265625" style="25" customWidth="1"/>
    <col min="5" max="5" width="18.453125" style="25" customWidth="1"/>
    <col min="6" max="6" width="7.1796875" style="25" customWidth="1"/>
    <col min="7" max="7" width="4" style="25" customWidth="1"/>
    <col min="8" max="8" width="20.7265625" style="25" customWidth="1"/>
    <col min="9" max="9" width="14.54296875" style="25" customWidth="1"/>
    <col min="10" max="10" width="15.81640625" style="25" customWidth="1"/>
    <col min="11" max="11" width="5.54296875" style="25" customWidth="1"/>
    <col min="12" max="12" width="20.26953125" style="25" customWidth="1"/>
    <col min="13" max="13" width="12.453125" style="25" customWidth="1"/>
    <col min="14" max="14" width="14.7265625" style="25" customWidth="1"/>
    <col min="15" max="15" width="18.453125" style="25" customWidth="1"/>
    <col min="16" max="16" width="19" style="25" bestFit="1" customWidth="1"/>
    <col min="17" max="16384" width="11.453125" style="25"/>
  </cols>
  <sheetData>
    <row r="1" spans="1:22" ht="58.5" customHeight="1" x14ac:dyDescent="0.35">
      <c r="A1" s="550" t="s">
        <v>501</v>
      </c>
      <c r="B1" s="550"/>
      <c r="C1" s="550"/>
      <c r="D1" s="550"/>
      <c r="E1" s="550"/>
      <c r="F1" s="550"/>
      <c r="G1" s="550"/>
      <c r="H1" s="550"/>
      <c r="I1" s="296"/>
      <c r="J1" s="204" t="s">
        <v>500</v>
      </c>
      <c r="K1" s="297"/>
      <c r="L1" s="297"/>
      <c r="M1" s="298"/>
      <c r="N1" s="298"/>
      <c r="O1" s="298"/>
      <c r="P1" s="298"/>
      <c r="Q1" s="298"/>
      <c r="R1" s="298"/>
      <c r="S1" s="298"/>
      <c r="T1" s="298"/>
      <c r="U1" s="298"/>
      <c r="V1" s="298"/>
    </row>
    <row r="2" spans="1:22" x14ac:dyDescent="0.35">
      <c r="A2" s="551" t="s">
        <v>103</v>
      </c>
      <c r="B2" s="551"/>
      <c r="C2" s="551"/>
      <c r="D2" s="551"/>
      <c r="E2" s="551"/>
      <c r="F2" s="551"/>
      <c r="G2" s="551"/>
      <c r="H2" s="551"/>
      <c r="I2" s="551"/>
      <c r="J2" s="551"/>
      <c r="K2" s="551"/>
      <c r="L2" s="551"/>
      <c r="M2" s="26"/>
      <c r="S2" s="27"/>
      <c r="T2" s="28"/>
    </row>
    <row r="3" spans="1:22" x14ac:dyDescent="0.35">
      <c r="A3" s="29"/>
      <c r="B3" s="29"/>
      <c r="C3" s="29"/>
      <c r="D3" s="29"/>
      <c r="J3" s="30"/>
      <c r="K3" s="31"/>
      <c r="M3" s="26"/>
      <c r="N3" s="32"/>
      <c r="S3" s="27"/>
      <c r="T3" s="28"/>
    </row>
    <row r="4" spans="1:22" x14ac:dyDescent="0.35">
      <c r="A4" s="552" t="s">
        <v>76</v>
      </c>
      <c r="B4" s="552"/>
      <c r="C4" s="553"/>
      <c r="D4" s="553"/>
      <c r="F4" s="554" t="s">
        <v>87</v>
      </c>
      <c r="G4" s="554"/>
      <c r="H4" s="554"/>
      <c r="I4" s="33"/>
      <c r="J4" s="352"/>
      <c r="K4" s="34" t="s">
        <v>1</v>
      </c>
      <c r="L4" s="299" t="e">
        <f>C4/J4</f>
        <v>#DIV/0!</v>
      </c>
      <c r="M4" s="26"/>
      <c r="S4" s="27"/>
      <c r="T4" s="36"/>
    </row>
    <row r="5" spans="1:22" x14ac:dyDescent="0.35">
      <c r="F5" s="560" t="s">
        <v>0</v>
      </c>
      <c r="G5" s="560"/>
      <c r="H5" s="560"/>
      <c r="I5" s="33"/>
      <c r="J5" s="353"/>
      <c r="K5" s="34" t="s">
        <v>1</v>
      </c>
      <c r="L5" s="37" t="e">
        <f>C4/J5</f>
        <v>#DIV/0!</v>
      </c>
      <c r="M5" s="26"/>
      <c r="S5" s="27"/>
      <c r="T5" s="36"/>
    </row>
    <row r="6" spans="1:22" x14ac:dyDescent="0.35">
      <c r="F6" s="560" t="s">
        <v>88</v>
      </c>
      <c r="G6" s="560"/>
      <c r="H6" s="560"/>
      <c r="I6" s="33"/>
      <c r="J6" s="353"/>
      <c r="K6" s="34" t="s">
        <v>1</v>
      </c>
      <c r="L6" s="38" t="e">
        <f>J6/J4</f>
        <v>#DIV/0!</v>
      </c>
      <c r="M6" s="26"/>
      <c r="S6" s="27"/>
      <c r="T6" s="36"/>
    </row>
    <row r="7" spans="1:22" x14ac:dyDescent="0.35">
      <c r="A7" s="39"/>
      <c r="B7" s="39"/>
      <c r="C7" s="39"/>
      <c r="D7" s="40"/>
      <c r="H7" s="41"/>
      <c r="I7" s="42"/>
      <c r="J7" s="43"/>
      <c r="K7" s="44"/>
      <c r="M7" s="26"/>
      <c r="S7" s="27"/>
      <c r="T7" s="36"/>
    </row>
    <row r="8" spans="1:22" x14ac:dyDescent="0.35">
      <c r="A8" s="551" t="s">
        <v>104</v>
      </c>
      <c r="B8" s="551"/>
      <c r="C8" s="551"/>
      <c r="D8" s="551"/>
      <c r="E8" s="551"/>
      <c r="F8" s="551"/>
      <c r="G8" s="551"/>
      <c r="H8" s="551"/>
      <c r="I8" s="551"/>
      <c r="J8" s="551"/>
      <c r="K8" s="551"/>
      <c r="L8" s="551"/>
      <c r="M8" s="26"/>
      <c r="S8" s="27"/>
      <c r="T8" s="36"/>
    </row>
    <row r="9" spans="1:22" x14ac:dyDescent="0.35">
      <c r="A9" s="39"/>
      <c r="B9" s="39"/>
      <c r="C9" s="39"/>
      <c r="D9" s="40"/>
      <c r="H9" s="41"/>
      <c r="I9" s="42"/>
      <c r="J9" s="43"/>
      <c r="K9" s="44"/>
      <c r="M9" s="26"/>
      <c r="S9" s="27"/>
      <c r="T9" s="36"/>
    </row>
    <row r="10" spans="1:22" x14ac:dyDescent="0.35">
      <c r="A10" s="561"/>
      <c r="B10" s="562"/>
      <c r="C10" s="563"/>
      <c r="D10" s="45" t="s">
        <v>54</v>
      </c>
      <c r="E10" s="45" t="s">
        <v>55</v>
      </c>
      <c r="G10" s="554" t="s">
        <v>84</v>
      </c>
      <c r="H10" s="554"/>
      <c r="I10" s="554"/>
      <c r="J10" s="554"/>
      <c r="K10" s="554"/>
      <c r="L10" s="354">
        <v>48</v>
      </c>
      <c r="M10" s="26"/>
      <c r="S10" s="27"/>
      <c r="T10" s="36"/>
    </row>
    <row r="11" spans="1:22" x14ac:dyDescent="0.35">
      <c r="A11" s="555" t="s">
        <v>90</v>
      </c>
      <c r="B11" s="556"/>
      <c r="C11" s="557"/>
      <c r="D11" s="46" t="e">
        <f>E11/1.2</f>
        <v>#DIV/0!</v>
      </c>
      <c r="E11" s="46" t="e">
        <f>C4*B25/J5*(1+L12)+L11</f>
        <v>#DIV/0!</v>
      </c>
      <c r="G11" s="554" t="s">
        <v>395</v>
      </c>
      <c r="H11" s="554"/>
      <c r="I11" s="554"/>
      <c r="J11" s="554"/>
      <c r="K11" s="554"/>
      <c r="L11" s="355">
        <v>0</v>
      </c>
      <c r="M11" s="26"/>
      <c r="S11" s="27"/>
      <c r="T11" s="36"/>
    </row>
    <row r="12" spans="1:22" ht="15" customHeight="1" x14ac:dyDescent="0.35">
      <c r="A12" s="555" t="s">
        <v>89</v>
      </c>
      <c r="B12" s="556"/>
      <c r="C12" s="557"/>
      <c r="D12" s="46" t="e">
        <f>E12/1.2</f>
        <v>#DIV/0!</v>
      </c>
      <c r="E12" s="47" t="e">
        <f>E11*L10/12</f>
        <v>#DIV/0!</v>
      </c>
      <c r="G12" s="558" t="s">
        <v>60</v>
      </c>
      <c r="H12" s="558"/>
      <c r="I12" s="558"/>
      <c r="J12" s="558"/>
      <c r="K12" s="558"/>
      <c r="L12" s="48">
        <f>'[5]Coût à l''heure'!C16</f>
        <v>0.1</v>
      </c>
      <c r="M12" s="26"/>
      <c r="S12" s="27"/>
      <c r="T12" s="36"/>
    </row>
    <row r="13" spans="1:22" x14ac:dyDescent="0.35">
      <c r="A13" s="39"/>
      <c r="B13" s="39"/>
      <c r="C13" s="39"/>
      <c r="D13" s="40"/>
      <c r="H13" s="41"/>
      <c r="I13" s="42"/>
      <c r="J13" s="43"/>
      <c r="K13" s="44"/>
      <c r="M13" s="26"/>
      <c r="S13" s="27"/>
      <c r="T13" s="36"/>
    </row>
    <row r="14" spans="1:22" x14ac:dyDescent="0.35">
      <c r="A14" s="551" t="s">
        <v>105</v>
      </c>
      <c r="B14" s="551"/>
      <c r="C14" s="551"/>
      <c r="D14" s="551"/>
      <c r="E14" s="551"/>
      <c r="F14" s="551"/>
      <c r="G14" s="551"/>
      <c r="H14" s="551"/>
      <c r="I14" s="551"/>
      <c r="J14" s="551"/>
      <c r="K14" s="551"/>
      <c r="L14" s="551"/>
      <c r="M14" s="26"/>
      <c r="S14" s="27"/>
      <c r="T14" s="36"/>
    </row>
    <row r="15" spans="1:22" x14ac:dyDescent="0.35">
      <c r="A15" s="49"/>
      <c r="B15" s="49"/>
      <c r="C15" s="49"/>
      <c r="D15" s="49"/>
      <c r="E15" s="49"/>
      <c r="F15" s="49"/>
      <c r="G15" s="49"/>
      <c r="H15" s="49"/>
      <c r="I15" s="49"/>
      <c r="J15" s="49"/>
      <c r="K15" s="49"/>
      <c r="S15" s="27"/>
      <c r="T15" s="36"/>
    </row>
    <row r="16" spans="1:22" x14ac:dyDescent="0.35">
      <c r="A16" s="559" t="s">
        <v>79</v>
      </c>
      <c r="B16" s="559"/>
      <c r="C16" s="559"/>
      <c r="D16" s="559"/>
      <c r="E16" s="559"/>
      <c r="F16" s="559"/>
      <c r="G16" s="559"/>
      <c r="H16" s="559"/>
      <c r="I16" s="559"/>
      <c r="J16" s="559"/>
      <c r="K16" s="559"/>
      <c r="L16" s="559"/>
      <c r="M16" s="29"/>
      <c r="N16" s="29"/>
      <c r="O16" s="29"/>
      <c r="P16" s="29"/>
      <c r="S16" s="27"/>
      <c r="T16" s="36"/>
    </row>
    <row r="17" spans="1:20" x14ac:dyDescent="0.35">
      <c r="E17" s="49"/>
      <c r="F17" s="49"/>
      <c r="G17" s="49"/>
      <c r="H17" s="49"/>
      <c r="I17" s="49"/>
      <c r="J17" s="49"/>
      <c r="K17" s="49"/>
      <c r="S17" s="27"/>
      <c r="T17" s="36"/>
    </row>
    <row r="18" spans="1:20" x14ac:dyDescent="0.35">
      <c r="A18" s="34" t="s">
        <v>83</v>
      </c>
      <c r="B18" s="356">
        <v>0.05</v>
      </c>
      <c r="C18" s="27"/>
      <c r="E18" s="50"/>
      <c r="F18" s="564" t="s">
        <v>80</v>
      </c>
      <c r="G18" s="564"/>
      <c r="H18" s="564"/>
      <c r="I18" s="564"/>
      <c r="J18" s="564"/>
      <c r="K18" s="565"/>
      <c r="L18" s="357">
        <v>0</v>
      </c>
      <c r="M18" s="51"/>
      <c r="S18" s="27"/>
      <c r="T18" s="36"/>
    </row>
    <row r="19" spans="1:20" x14ac:dyDescent="0.35">
      <c r="A19" s="358" t="s">
        <v>82</v>
      </c>
      <c r="B19" s="356">
        <v>0.05</v>
      </c>
      <c r="C19" s="94"/>
      <c r="E19" s="50"/>
      <c r="F19" s="31"/>
      <c r="G19" s="31"/>
      <c r="H19" s="31"/>
      <c r="I19" s="31"/>
      <c r="J19" s="31"/>
      <c r="K19" s="31"/>
      <c r="M19" s="51"/>
      <c r="S19" s="27"/>
      <c r="T19" s="36"/>
    </row>
    <row r="20" spans="1:20" ht="14.5" x14ac:dyDescent="0.35">
      <c r="A20" s="34" t="s">
        <v>443</v>
      </c>
      <c r="B20" s="53">
        <f>SUM('ANX 1 - Descrip locaux - appd 1'!J16:J10001)</f>
        <v>383.27999999999975</v>
      </c>
      <c r="C20" s="30" t="s">
        <v>444</v>
      </c>
      <c r="E20" s="50"/>
      <c r="F20" s="564" t="s">
        <v>81</v>
      </c>
      <c r="G20" s="564"/>
      <c r="H20" s="564"/>
      <c r="I20" s="564"/>
      <c r="J20" s="564"/>
      <c r="K20" s="565"/>
      <c r="L20" s="357">
        <v>0</v>
      </c>
      <c r="S20" s="27"/>
      <c r="T20" s="36"/>
    </row>
    <row r="21" spans="1:20" x14ac:dyDescent="0.35">
      <c r="A21" s="49"/>
      <c r="B21" s="49"/>
      <c r="C21" s="49"/>
      <c r="D21" s="49"/>
      <c r="E21" s="49"/>
      <c r="F21" s="49"/>
      <c r="G21" s="49"/>
      <c r="H21" s="49"/>
      <c r="I21" s="49"/>
      <c r="J21" s="49"/>
      <c r="K21" s="49"/>
      <c r="S21" s="27"/>
      <c r="T21" s="36"/>
    </row>
    <row r="22" spans="1:20" x14ac:dyDescent="0.35">
      <c r="A22" s="559" t="s">
        <v>77</v>
      </c>
      <c r="B22" s="559"/>
      <c r="C22" s="559"/>
      <c r="D22" s="559"/>
      <c r="E22" s="559"/>
      <c r="F22" s="559"/>
      <c r="G22" s="559"/>
      <c r="H22" s="559"/>
      <c r="I22" s="559"/>
      <c r="J22" s="559"/>
      <c r="K22" s="559"/>
      <c r="L22" s="559"/>
      <c r="M22" s="29"/>
      <c r="O22" s="29"/>
      <c r="P22" s="29"/>
      <c r="S22" s="27"/>
      <c r="T22" s="36"/>
    </row>
    <row r="23" spans="1:20" ht="14.5" thickBot="1" x14ac:dyDescent="0.4">
      <c r="A23" s="49"/>
      <c r="B23" s="49"/>
      <c r="C23" s="49"/>
      <c r="D23" s="49"/>
      <c r="E23" s="49"/>
      <c r="F23" s="49"/>
      <c r="G23" s="49"/>
      <c r="H23" s="49"/>
      <c r="I23" s="49"/>
      <c r="J23" s="49"/>
      <c r="K23" s="49"/>
      <c r="S23" s="27"/>
      <c r="T23" s="36"/>
    </row>
    <row r="24" spans="1:20" x14ac:dyDescent="0.35">
      <c r="A24" s="359" t="s">
        <v>106</v>
      </c>
      <c r="B24" s="54">
        <f>SUM('ANX 1 - Descrip locaux - appd 1'!X:X)*(1+$B$18)*(1+$B$19)</f>
        <v>624.65644552500021</v>
      </c>
      <c r="C24" s="319" t="s">
        <v>1</v>
      </c>
      <c r="D24" s="35">
        <f>E32/B24</f>
        <v>210.69548016826204</v>
      </c>
      <c r="H24" s="566" t="s">
        <v>445</v>
      </c>
      <c r="I24" s="567"/>
      <c r="J24" s="567"/>
      <c r="K24" s="567"/>
      <c r="L24" s="568"/>
      <c r="S24" s="27"/>
      <c r="T24" s="36"/>
    </row>
    <row r="25" spans="1:20" ht="21.5" customHeight="1" thickBot="1" x14ac:dyDescent="0.4">
      <c r="A25" s="360" t="s">
        <v>107</v>
      </c>
      <c r="B25" s="53">
        <f>SUM('ANX 1 - Descrip locaux - appd 1'!M16:M10001)</f>
        <v>1744.6899999999998</v>
      </c>
      <c r="C25" s="55" t="s">
        <v>1</v>
      </c>
      <c r="D25" s="37">
        <f>E32/B25</f>
        <v>75.435916827682718</v>
      </c>
      <c r="H25" s="396" t="str">
        <f>IF(ABS(L26+L27+L28-E36)&lt;1,"","Erreur")</f>
        <v/>
      </c>
      <c r="I25" s="300" t="s">
        <v>64</v>
      </c>
      <c r="J25" s="569" t="s">
        <v>51</v>
      </c>
      <c r="K25" s="569"/>
      <c r="L25" s="301" t="s">
        <v>52</v>
      </c>
      <c r="S25" s="27"/>
      <c r="T25" s="36"/>
    </row>
    <row r="26" spans="1:20" ht="21" x14ac:dyDescent="0.35">
      <c r="A26" s="360" t="s">
        <v>108</v>
      </c>
      <c r="B26" s="53">
        <f>SUM('ANX 1 - Descrip locaux - appd 1'!U16:U10001)</f>
        <v>136461.54</v>
      </c>
      <c r="C26" s="319" t="s">
        <v>1</v>
      </c>
      <c r="D26" s="38">
        <f>B26/B24</f>
        <v>218.45854785875014</v>
      </c>
      <c r="H26" s="76" t="s">
        <v>66</v>
      </c>
      <c r="I26" s="361">
        <f>(SUMIF('ANX 1 - Descrip locaux - appd 1'!C:C,'ANX 1 - Légende - appd 2'!$K$11,'ANX 1 - Descrip locaux - appd 1'!X:X))*(1+$B$18)*(1+$B$19)</f>
        <v>0</v>
      </c>
      <c r="J26" s="570">
        <f>L26/1.2</f>
        <v>0</v>
      </c>
      <c r="K26" s="570"/>
      <c r="L26" s="77">
        <f>I26*'Coût à l''heure'!$C$14+'Prest à la demande OCCA'!$I$6+'Prest à la demande OCCA'!$M$6+'Prest à la demande OCCA'!$Q$6+'Prest à la demande HABI'!$I$6+'Prest à la demande HABI'!$M$6+'Prest à la demande HABI'!$Q$6</f>
        <v>0</v>
      </c>
      <c r="S26" s="27"/>
      <c r="T26" s="36"/>
    </row>
    <row r="27" spans="1:20" x14ac:dyDescent="0.35">
      <c r="F27" s="60"/>
      <c r="G27" s="60"/>
      <c r="H27" s="78" t="s">
        <v>275</v>
      </c>
      <c r="I27" s="362">
        <f>(SUMIF('ANX 1 - Descrip locaux - appd 1'!C:C,'ANX 1 - Légende - appd 2'!$K$12,'ANX 1 - Descrip locaux - appd 1'!X:X))*(1+$B$18)*(1+$B$19)</f>
        <v>624.65644552500021</v>
      </c>
      <c r="J27" s="571">
        <f>L27/1.2</f>
        <v>109676.90810840813</v>
      </c>
      <c r="K27" s="571"/>
      <c r="L27" s="79">
        <f>I27*'Coût à l''heure'!$C$14+'Prest à la demande OCCA'!$U$6+'Prest à la demande OCCA'!$Y$6+'Prest à la demande OCCA'!$AC$6+'Prest à la demande HABI'!$U$6+'Prest à la demande HABI'!$Y$6+'Prest à la demande HABI'!$AC$6+$L$20</f>
        <v>131612.28973008975</v>
      </c>
      <c r="R27" s="64"/>
      <c r="S27" s="27"/>
      <c r="T27" s="36"/>
    </row>
    <row r="28" spans="1:20" ht="14.5" thickBot="1" x14ac:dyDescent="0.4">
      <c r="A28" s="574" t="s">
        <v>56</v>
      </c>
      <c r="B28" s="574"/>
      <c r="C28" s="574"/>
      <c r="D28" s="320" t="s">
        <v>54</v>
      </c>
      <c r="E28" s="320" t="s">
        <v>55</v>
      </c>
      <c r="F28" s="60"/>
      <c r="G28" s="60"/>
      <c r="H28" s="66" t="s">
        <v>63</v>
      </c>
      <c r="I28" s="67">
        <f>(SUMIF('ANX 1 - Descrip locaux - appd 1'!C:C,'ANX 1 - Légende - appd 2'!$K$13,'ANX 1 - Descrip locaux - appd 1'!X:X))*(1+$B$18)*(1+$B$19)</f>
        <v>0</v>
      </c>
      <c r="J28" s="575">
        <f>L28/1.2</f>
        <v>0</v>
      </c>
      <c r="K28" s="575"/>
      <c r="L28" s="68">
        <f>I28*'Coût à l''heure'!$C$14+$L$18</f>
        <v>0</v>
      </c>
      <c r="S28" s="27"/>
      <c r="T28" s="36"/>
    </row>
    <row r="29" spans="1:20" ht="14.5" thickBot="1" x14ac:dyDescent="0.4">
      <c r="A29" s="572" t="s">
        <v>396</v>
      </c>
      <c r="B29" s="572"/>
      <c r="C29" s="572"/>
      <c r="D29" s="311">
        <f>E29/1.2</f>
        <v>13424.90810840813</v>
      </c>
      <c r="E29" s="311">
        <f>B24*'Coût à l''heure'!$C$14</f>
        <v>16109.889730089755</v>
      </c>
      <c r="F29" s="29"/>
      <c r="G29" s="29"/>
      <c r="H29" s="26"/>
      <c r="Q29" s="573"/>
      <c r="R29" s="573"/>
      <c r="S29" s="27"/>
      <c r="T29" s="36"/>
    </row>
    <row r="30" spans="1:20" x14ac:dyDescent="0.35">
      <c r="A30" s="572" t="s">
        <v>397</v>
      </c>
      <c r="B30" s="572"/>
      <c r="C30" s="572"/>
      <c r="D30" s="351">
        <f>E30/1.2</f>
        <v>0</v>
      </c>
      <c r="E30" s="351">
        <f>'Prest à la demande OCCA'!$I$6+'Prest à la demande OCCA'!$M$6+'Prest à la demande OCCA'!$Q$6+'Prest à la demande OCCA'!$U$6+'Prest à la demande OCCA'!$Y$6+'Prest à la demande OCCA'!$AC$6</f>
        <v>0</v>
      </c>
      <c r="F30" s="29"/>
      <c r="G30" s="29"/>
      <c r="H30" s="566" t="s">
        <v>446</v>
      </c>
      <c r="I30" s="567"/>
      <c r="J30" s="567"/>
      <c r="K30" s="567"/>
      <c r="L30" s="568"/>
      <c r="Q30" s="321"/>
      <c r="R30" s="321"/>
      <c r="S30" s="27"/>
      <c r="T30" s="36"/>
    </row>
    <row r="31" spans="1:20" ht="16.5" customHeight="1" thickBot="1" x14ac:dyDescent="0.4">
      <c r="A31" s="572" t="s">
        <v>398</v>
      </c>
      <c r="B31" s="572"/>
      <c r="C31" s="572"/>
      <c r="D31" s="351">
        <f>E31/1.2</f>
        <v>96252</v>
      </c>
      <c r="E31" s="46">
        <f>'Prest à la demande HABI'!$I$6+'Prest à la demande HABI'!$M$6+'Prest à la demande HABI'!$Q$6+'Prest à la demande HABI'!$U$6+'Prest à la demande HABI'!$Y$6+'Prest à la demande HABI'!$AC$6</f>
        <v>115502.39999999999</v>
      </c>
      <c r="H31" s="56" t="str">
        <f>IF(ABS(L32+L33+L34-E36)&lt;1,"","Erreur")</f>
        <v/>
      </c>
      <c r="I31" s="300" t="s">
        <v>64</v>
      </c>
      <c r="J31" s="569" t="s">
        <v>51</v>
      </c>
      <c r="K31" s="569"/>
      <c r="L31" s="301" t="s">
        <v>52</v>
      </c>
      <c r="T31" s="36"/>
    </row>
    <row r="32" spans="1:20" ht="14" customHeight="1" x14ac:dyDescent="0.35">
      <c r="A32" s="581" t="s">
        <v>447</v>
      </c>
      <c r="B32" s="581"/>
      <c r="C32" s="581"/>
      <c r="D32" s="313">
        <f>E32/1.2</f>
        <v>109676.90810840813</v>
      </c>
      <c r="E32" s="313">
        <f>E29+E30+E31</f>
        <v>131612.28973008975</v>
      </c>
      <c r="H32" s="57">
        <v>1</v>
      </c>
      <c r="I32" s="58">
        <f>(SUMIF('ANX 1 - Descrip locaux - appd 1'!B:B,'ANX 1 - Légende - appd 2'!$H$11,'ANX 1 - Descrip locaux - appd 1'!X:X))*(1+$B$18)*(1+$B$19)</f>
        <v>624.65644552500021</v>
      </c>
      <c r="J32" s="577">
        <f>L32/1.2</f>
        <v>13424.90810840813</v>
      </c>
      <c r="K32" s="577"/>
      <c r="L32" s="302">
        <f>I32*'Coût à l''heure'!$C$14+'Prest à la demande OCCA'!$I$6+'Prest à la demande OCCA'!$U$6+'Prest à la demande HABI'!$I$6+'Prest à la demande HABI'!$U$6</f>
        <v>16109.889730089755</v>
      </c>
      <c r="T32" s="36"/>
    </row>
    <row r="33" spans="1:20" x14ac:dyDescent="0.35">
      <c r="A33" s="363"/>
      <c r="B33" s="363"/>
      <c r="C33" s="363"/>
      <c r="D33" s="369"/>
      <c r="E33" s="369"/>
      <c r="H33" s="61">
        <v>2</v>
      </c>
      <c r="I33" s="62">
        <f>(SUMIF('ANX 1 - Descrip locaux - appd 1'!B:B,'ANX 1 - Légende - appd 2'!$H$12,'ANX 1 - Descrip locaux - appd 1'!X:X))*(1+$B$18)*(1+$B$19)</f>
        <v>0</v>
      </c>
      <c r="J33" s="576">
        <f>L33/1.2</f>
        <v>96252</v>
      </c>
      <c r="K33" s="576"/>
      <c r="L33" s="303">
        <f>I33*'Coût à l''heure'!$C$14+'Prest à la demande OCCA'!$M$6+'Prest à la demande OCCA'!$Y$6+'Prest à la demande HABI'!$M$6+'Prest à la demande HABI'!$Y$6</f>
        <v>115502.39999999999</v>
      </c>
      <c r="T33" s="36"/>
    </row>
    <row r="34" spans="1:20" ht="14.5" thickBot="1" x14ac:dyDescent="0.4">
      <c r="A34" s="572" t="s">
        <v>448</v>
      </c>
      <c r="B34" s="582"/>
      <c r="C34" s="582"/>
      <c r="D34" s="46">
        <f>E34/1.2</f>
        <v>0</v>
      </c>
      <c r="E34" s="46">
        <f>$L$18+$L$20</f>
        <v>0</v>
      </c>
      <c r="H34" s="66">
        <v>3</v>
      </c>
      <c r="I34" s="67">
        <f>(SUMIF('ANX 1 - Descrip locaux - appd 1'!B:B,'ANX 1 - Légende - appd 2'!$H$13,'ANX 1 - Descrip locaux - appd 1'!X:X))*(1+$B$18)*(1+$B$19)</f>
        <v>0</v>
      </c>
      <c r="J34" s="575">
        <f>L34/1.2</f>
        <v>0</v>
      </c>
      <c r="K34" s="575"/>
      <c r="L34" s="304">
        <f>I34*'Coût à l''heure'!$C$14+'Prest à la demande OCCA'!$Q$6+'Prest à la demande HABI'!$Q$6+$L$18+$L$20</f>
        <v>0</v>
      </c>
      <c r="T34" s="36"/>
    </row>
    <row r="35" spans="1:20" ht="14.5" thickBot="1" x14ac:dyDescent="0.4">
      <c r="A35" s="363"/>
      <c r="B35" s="363"/>
      <c r="C35" s="363"/>
      <c r="D35" s="369"/>
      <c r="E35" s="369"/>
      <c r="F35" s="31"/>
      <c r="G35" s="31"/>
      <c r="H35" s="26"/>
      <c r="R35" s="69"/>
      <c r="S35" s="27"/>
      <c r="T35" s="36"/>
    </row>
    <row r="36" spans="1:20" x14ac:dyDescent="0.35">
      <c r="A36" s="583" t="s">
        <v>449</v>
      </c>
      <c r="B36" s="583"/>
      <c r="C36" s="583"/>
      <c r="D36" s="312">
        <f>E36/1.2</f>
        <v>109676.90810840813</v>
      </c>
      <c r="E36" s="370">
        <f>E32+E34</f>
        <v>131612.28973008975</v>
      </c>
      <c r="H36" s="566" t="s">
        <v>450</v>
      </c>
      <c r="I36" s="567"/>
      <c r="J36" s="567"/>
      <c r="K36" s="567"/>
      <c r="L36" s="568"/>
      <c r="R36" s="69"/>
      <c r="S36" s="27"/>
      <c r="T36" s="36"/>
    </row>
    <row r="37" spans="1:20" ht="14.5" thickBot="1" x14ac:dyDescent="0.4">
      <c r="H37" s="56" t="str">
        <f>IF(ABS(L38+L39+L40+L41+L42+L43+L44+L45-E36)&lt;1,"","Erreur ")</f>
        <v/>
      </c>
      <c r="I37" s="300" t="s">
        <v>64</v>
      </c>
      <c r="J37" s="578" t="s">
        <v>51</v>
      </c>
      <c r="K37" s="579"/>
      <c r="L37" s="301" t="s">
        <v>52</v>
      </c>
      <c r="R37" s="69"/>
      <c r="S37" s="27"/>
      <c r="T37" s="36"/>
    </row>
    <row r="38" spans="1:20" x14ac:dyDescent="0.35">
      <c r="H38" s="305" t="s">
        <v>451</v>
      </c>
      <c r="I38" s="58">
        <f>SUMIFS('ANX 1 - Descrip locaux - appd 1'!X:X,'ANX 1 - Descrip locaux - appd 1'!B:B,'ANX 1 - Légende - appd 2'!$H$11,'ANX 1 - Descrip locaux - appd 1'!C:C,'ANX 1 - Légende - appd 2'!$K$11)*(1+$B$18)*(1+$B$19)</f>
        <v>0</v>
      </c>
      <c r="J38" s="577">
        <f t="shared" ref="J38:J45" si="0">L38/1.2</f>
        <v>0</v>
      </c>
      <c r="K38" s="577"/>
      <c r="L38" s="59">
        <f>I38*'Coût à l''heure'!$C$14+'Prest à la demande OCCA'!$I$6+'Prest à la demande HABI'!$I$6</f>
        <v>0</v>
      </c>
      <c r="R38" s="69"/>
      <c r="S38" s="27"/>
      <c r="T38" s="36"/>
    </row>
    <row r="39" spans="1:20" x14ac:dyDescent="0.35">
      <c r="H39" s="306" t="s">
        <v>452</v>
      </c>
      <c r="I39" s="62">
        <f>SUMIFS('ANX 1 - Descrip locaux - appd 1'!X:X,'ANX 1 - Descrip locaux - appd 1'!B:B,'ANX 1 - Légende - appd 2'!$H$11,'ANX 1 - Descrip locaux - appd 1'!C:C,'ANX 1 - Légende - appd 2'!$K$12)*(1+$B$18)*(1+$B$19)</f>
        <v>624.65644552500021</v>
      </c>
      <c r="J39" s="576">
        <f t="shared" si="0"/>
        <v>13424.90810840813</v>
      </c>
      <c r="K39" s="576"/>
      <c r="L39" s="63">
        <f>I39*'Coût à l''heure'!$C$14+'Prest à la demande OCCA'!$U$6+'Prest à la demande HABI'!$U$6</f>
        <v>16109.889730089755</v>
      </c>
      <c r="R39" s="69"/>
      <c r="S39" s="27"/>
      <c r="T39" s="36"/>
    </row>
    <row r="40" spans="1:20" x14ac:dyDescent="0.35">
      <c r="H40" s="364" t="s">
        <v>453</v>
      </c>
      <c r="I40" s="365">
        <f>SUMIFS('ANX 1 - Descrip locaux - appd 1'!X:X,'ANX 1 - Descrip locaux - appd 1'!B:B,'ANX 1 - Légende - appd 2'!$H$11,'ANX 1 - Descrip locaux - appd 1'!C:C,'ANX 1 - Légende - appd 2'!$K$13)*(1+$B$18)*(1+$B$19)</f>
        <v>0</v>
      </c>
      <c r="J40" s="580">
        <f t="shared" si="0"/>
        <v>0</v>
      </c>
      <c r="K40" s="580"/>
      <c r="L40" s="366">
        <f>I40*'Coût à l''heure'!$C$14</f>
        <v>0</v>
      </c>
      <c r="R40" s="69"/>
      <c r="S40" s="27"/>
      <c r="T40" s="36"/>
    </row>
    <row r="41" spans="1:20" x14ac:dyDescent="0.35">
      <c r="H41" s="307" t="s">
        <v>454</v>
      </c>
      <c r="I41" s="62">
        <f>SUMIFS('ANX 1 - Descrip locaux - appd 1'!X:X,'ANX 1 - Descrip locaux - appd 1'!B:B,'ANX 1 - Légende - appd 2'!$H$12,'ANX 1 - Descrip locaux - appd 1'!C:C,'ANX 1 - Légende - appd 2'!$K$11)*(1+$B$18)*(1+$B$19)</f>
        <v>0</v>
      </c>
      <c r="J41" s="576">
        <f t="shared" si="0"/>
        <v>0</v>
      </c>
      <c r="K41" s="576"/>
      <c r="L41" s="63">
        <f>I41*'Coût à l''heure'!$C$14+'Prest à la demande OCCA'!$M$6+'Prest à la demande HABI'!$M$6</f>
        <v>0</v>
      </c>
      <c r="R41" s="69"/>
      <c r="S41" s="27"/>
      <c r="T41" s="36"/>
    </row>
    <row r="42" spans="1:20" x14ac:dyDescent="0.35">
      <c r="A42" s="43"/>
      <c r="B42" s="43"/>
      <c r="C42" s="43"/>
      <c r="D42" s="27"/>
      <c r="E42" s="71"/>
      <c r="F42" s="31"/>
      <c r="G42" s="31"/>
      <c r="H42" s="308" t="s">
        <v>455</v>
      </c>
      <c r="I42" s="62">
        <f>SUMIFS('ANX 1 - Descrip locaux - appd 1'!X:X,'ANX 1 - Descrip locaux - appd 1'!B:B,'ANX 1 - Légende - appd 2'!$H$12,'ANX 1 - Descrip locaux - appd 1'!C:C,'ANX 1 - Légende - appd 2'!$K$12)*(1+$B$18)*(1+$B$19)</f>
        <v>0</v>
      </c>
      <c r="J42" s="576">
        <f t="shared" si="0"/>
        <v>96252</v>
      </c>
      <c r="K42" s="576"/>
      <c r="L42" s="63">
        <f>I42*'Coût à l''heure'!$C$14+'Prest à la demande OCCA'!$Y$6+'Prest à la demande HABI'!$Y$6</f>
        <v>115502.39999999999</v>
      </c>
      <c r="R42" s="69"/>
      <c r="S42" s="27"/>
      <c r="T42" s="36"/>
    </row>
    <row r="43" spans="1:20" x14ac:dyDescent="0.35">
      <c r="A43" s="64"/>
      <c r="B43" s="64"/>
      <c r="C43" s="64"/>
      <c r="D43" s="64"/>
      <c r="E43" s="64"/>
      <c r="F43" s="31"/>
      <c r="G43" s="31"/>
      <c r="H43" s="306" t="s">
        <v>456</v>
      </c>
      <c r="I43" s="70">
        <f>SUMIFS('ANX 1 - Descrip locaux - appd 1'!X:X,'ANX 1 - Descrip locaux - appd 1'!B:B,'ANX 1 - Légende - appd 2'!$H$13,'ANX 1 - Descrip locaux - appd 1'!C:C,'ANX 1 - Légende - appd 2'!$K$11)*(1+$B$18)*(1+$B$19)</f>
        <v>0</v>
      </c>
      <c r="J43" s="576">
        <f t="shared" si="0"/>
        <v>0</v>
      </c>
      <c r="K43" s="576"/>
      <c r="L43" s="63">
        <f>I43*'Coût à l''heure'!$C$14+'Prest à la demande OCCA'!$Q$6+'Prest à la demande HABI'!$Q$6</f>
        <v>0</v>
      </c>
    </row>
    <row r="44" spans="1:20" x14ac:dyDescent="0.35">
      <c r="A44" s="72"/>
      <c r="B44" s="72"/>
      <c r="C44" s="72"/>
      <c r="D44" s="72"/>
      <c r="E44" s="73"/>
      <c r="F44" s="309"/>
      <c r="G44" s="309"/>
      <c r="H44" s="306" t="s">
        <v>457</v>
      </c>
      <c r="I44" s="70">
        <f>SUMIFS('ANX 1 - Descrip locaux - appd 1'!X:X,'ANX 1 - Descrip locaux - appd 1'!B:B,'ANX 1 - Légende - appd 2'!$H$13,'ANX 1 - Descrip locaux - appd 1'!C:C,'ANX 1 - Légende - appd 2'!$K$12)*(1+$B$18)*(1+$B$19)</f>
        <v>0</v>
      </c>
      <c r="J44" s="576">
        <f t="shared" si="0"/>
        <v>0</v>
      </c>
      <c r="K44" s="576"/>
      <c r="L44" s="63">
        <f>I44*'Coût à l''heure'!$C$14+'Prest à la demande OCCA'!$AC$6+'Prest à la demande HABI'!$AC$6+$L$20</f>
        <v>0</v>
      </c>
    </row>
    <row r="45" spans="1:20" ht="14.5" thickBot="1" x14ac:dyDescent="0.4">
      <c r="H45" s="310" t="s">
        <v>458</v>
      </c>
      <c r="I45" s="74">
        <f>SUMIFS('ANX 1 - Descrip locaux - appd 1'!X:X,'ANX 1 - Descrip locaux - appd 1'!B:B,'ANX 1 - Légende - appd 2'!$H$13,'ANX 1 - Descrip locaux - appd 1'!C:C,'ANX 1 - Légende - appd 2'!$K$13)*(1+$B$18)*(1+$B$19)</f>
        <v>0</v>
      </c>
      <c r="J45" s="575">
        <f t="shared" si="0"/>
        <v>0</v>
      </c>
      <c r="K45" s="575"/>
      <c r="L45" s="68">
        <f>I45*'Coût à l''heure'!$C$14+$L$18</f>
        <v>0</v>
      </c>
    </row>
    <row r="46" spans="1:20" x14ac:dyDescent="0.35">
      <c r="J46" s="75"/>
      <c r="M46" s="26"/>
    </row>
    <row r="47" spans="1:20" x14ac:dyDescent="0.35">
      <c r="A47" s="559" t="s">
        <v>78</v>
      </c>
      <c r="B47" s="559"/>
      <c r="C47" s="559"/>
      <c r="D47" s="559"/>
      <c r="E47" s="559"/>
      <c r="F47" s="559"/>
      <c r="G47" s="559"/>
      <c r="H47" s="559"/>
      <c r="I47" s="559"/>
      <c r="J47" s="559"/>
      <c r="K47" s="559"/>
      <c r="L47" s="559"/>
      <c r="M47" s="29"/>
      <c r="O47" s="29"/>
      <c r="P47" s="29"/>
    </row>
    <row r="48" spans="1:20" ht="14.5" thickBot="1" x14ac:dyDescent="0.4">
      <c r="M48" s="26"/>
    </row>
    <row r="49" spans="1:12" x14ac:dyDescent="0.35">
      <c r="A49" s="359" t="s">
        <v>106</v>
      </c>
      <c r="B49" s="54">
        <f>$F$54*$B$24</f>
        <v>535.41981045000011</v>
      </c>
      <c r="C49" s="319" t="s">
        <v>1</v>
      </c>
      <c r="D49" s="35">
        <f>E57/B49</f>
        <v>241.51306019630576</v>
      </c>
      <c r="G49" s="31"/>
      <c r="H49" s="566" t="s">
        <v>445</v>
      </c>
      <c r="I49" s="567"/>
      <c r="J49" s="567"/>
      <c r="K49" s="567"/>
      <c r="L49" s="568"/>
    </row>
    <row r="50" spans="1:12" ht="21.5" customHeight="1" thickBot="1" x14ac:dyDescent="0.4">
      <c r="A50" s="360" t="s">
        <v>107</v>
      </c>
      <c r="B50" s="53">
        <f>$B$25</f>
        <v>1744.6899999999998</v>
      </c>
      <c r="C50" s="55" t="s">
        <v>1</v>
      </c>
      <c r="D50" s="37">
        <f>E57/B50</f>
        <v>74.116821275702563</v>
      </c>
      <c r="G50" s="71"/>
      <c r="H50" s="56" t="str">
        <f>IF(ABS(L51+L52+L53-E61)&lt;1,"","Erreur")</f>
        <v/>
      </c>
      <c r="I50" s="300" t="s">
        <v>64</v>
      </c>
      <c r="J50" s="569" t="s">
        <v>51</v>
      </c>
      <c r="K50" s="569"/>
      <c r="L50" s="301" t="s">
        <v>52</v>
      </c>
    </row>
    <row r="51" spans="1:12" ht="21" x14ac:dyDescent="0.35">
      <c r="A51" s="360" t="s">
        <v>108</v>
      </c>
      <c r="B51" s="53">
        <f>$B$26</f>
        <v>136461.54</v>
      </c>
      <c r="C51" s="319" t="s">
        <v>1</v>
      </c>
      <c r="D51" s="38">
        <f>B51/B49</f>
        <v>254.86830583520853</v>
      </c>
      <c r="G51" s="31"/>
      <c r="H51" s="76" t="s">
        <v>66</v>
      </c>
      <c r="I51" s="361">
        <f>(SUMIF('ANX 1 - Descrip locaux - appd 1'!C:C,'ANX 1 - Légende - appd 2'!$K$11,'ANX 1 - Descrip locaux - appd 1'!X:X))*(1+$B$18)*(1+$B$19)*($F$54)</f>
        <v>0</v>
      </c>
      <c r="J51" s="570">
        <f>L51/1.2</f>
        <v>0</v>
      </c>
      <c r="K51" s="570"/>
      <c r="L51" s="77">
        <f>I51*'Coût à l''heure'!$C$14+'Prest à la demande OCCA'!$I$6+'Prest à la demande OCCA'!$M$6+'Prest à la demande OCCA'!$Q$6+'Prest à la demande HABI'!$I$6+'Prest à la demande HABI'!$M$6+'Prest à la demande HABI'!$Q$6</f>
        <v>0</v>
      </c>
    </row>
    <row r="52" spans="1:12" x14ac:dyDescent="0.35">
      <c r="G52" s="31"/>
      <c r="H52" s="78" t="s">
        <v>275</v>
      </c>
      <c r="I52" s="362">
        <f>(SUMIF('ANX 1 - Descrip locaux - appd 1'!C:C,'ANX 1 - Légende - appd 2'!$K$12,'ANX 1 - Descrip locaux - appd 1'!X:X))*(1+$B$18)*(1+$B$19)*($F$54)</f>
        <v>535.41981045000011</v>
      </c>
      <c r="J52" s="571">
        <f>L52/1.2</f>
        <v>107759.06409292125</v>
      </c>
      <c r="K52" s="571"/>
      <c r="L52" s="79">
        <f>I52*'Coût à l''heure'!$C$14+'Prest à la demande OCCA'!$U$6+'Prest à la demande OCCA'!$Y$6+'Prest à la demande OCCA'!$AC$6+'Prest à la demande HABI'!$U$6+'Prest à la demande HABI'!$Y$6+'Prest à la demande HABI'!$AC$6+$L$20</f>
        <v>129310.8769115055</v>
      </c>
    </row>
    <row r="53" spans="1:12" ht="14.5" thickBot="1" x14ac:dyDescent="0.4">
      <c r="A53" s="574" t="s">
        <v>59</v>
      </c>
      <c r="B53" s="574"/>
      <c r="C53" s="574"/>
      <c r="D53" s="320" t="s">
        <v>54</v>
      </c>
      <c r="E53" s="320" t="s">
        <v>55</v>
      </c>
      <c r="F53" s="319" t="s">
        <v>71</v>
      </c>
      <c r="G53" s="31"/>
      <c r="H53" s="66" t="s">
        <v>63</v>
      </c>
      <c r="I53" s="67">
        <f>(SUMIF('ANX 1 - Descrip locaux - appd 1'!C:C,'ANX 1 - Légende - appd 2'!$K$13,'ANX 1 - Descrip locaux - appd 1'!X:X))*(1+$B$18)*(1+$B$19)*($F$54)</f>
        <v>0</v>
      </c>
      <c r="J53" s="575">
        <f>L53/1.2</f>
        <v>0</v>
      </c>
      <c r="K53" s="575"/>
      <c r="L53" s="68">
        <f>I53*'Coût à l''heure'!$C$14+$L$18</f>
        <v>0</v>
      </c>
    </row>
    <row r="54" spans="1:12" ht="14.5" thickBot="1" x14ac:dyDescent="0.4">
      <c r="A54" s="572" t="s">
        <v>396</v>
      </c>
      <c r="B54" s="572"/>
      <c r="C54" s="572"/>
      <c r="D54" s="311">
        <f>E54/1.2</f>
        <v>11507.064092921253</v>
      </c>
      <c r="E54" s="311">
        <f>$E$29*marge</f>
        <v>13808.476911505504</v>
      </c>
      <c r="F54" s="367">
        <f>6/7</f>
        <v>0.8571428571428571</v>
      </c>
      <c r="G54" s="31"/>
      <c r="H54" s="26"/>
    </row>
    <row r="55" spans="1:12" x14ac:dyDescent="0.35">
      <c r="A55" s="572" t="s">
        <v>397</v>
      </c>
      <c r="B55" s="572"/>
      <c r="C55" s="572"/>
      <c r="D55" s="351">
        <f>E55/1.2</f>
        <v>0</v>
      </c>
      <c r="E55" s="351">
        <f>$E$30</f>
        <v>0</v>
      </c>
      <c r="F55" s="31"/>
      <c r="H55" s="566" t="s">
        <v>446</v>
      </c>
      <c r="I55" s="567"/>
      <c r="J55" s="567"/>
      <c r="K55" s="567"/>
      <c r="L55" s="568"/>
    </row>
    <row r="56" spans="1:12" ht="16.5" customHeight="1" thickBot="1" x14ac:dyDescent="0.4">
      <c r="A56" s="572" t="s">
        <v>398</v>
      </c>
      <c r="B56" s="572"/>
      <c r="C56" s="572"/>
      <c r="D56" s="351">
        <f>E56/1.2</f>
        <v>96252</v>
      </c>
      <c r="E56" s="351">
        <f>$E$31</f>
        <v>115502.39999999999</v>
      </c>
      <c r="F56" s="31"/>
      <c r="H56" s="56" t="str">
        <f>IF(ABS(L57+L58+L59-E61)&lt;1,"","Erreur")</f>
        <v/>
      </c>
      <c r="I56" s="300" t="s">
        <v>64</v>
      </c>
      <c r="J56" s="569" t="s">
        <v>51</v>
      </c>
      <c r="K56" s="569"/>
      <c r="L56" s="301" t="s">
        <v>52</v>
      </c>
    </row>
    <row r="57" spans="1:12" ht="14" customHeight="1" x14ac:dyDescent="0.35">
      <c r="A57" s="581" t="s">
        <v>447</v>
      </c>
      <c r="B57" s="581"/>
      <c r="C57" s="581"/>
      <c r="D57" s="313">
        <f>E57/1.2</f>
        <v>107759.06409292125</v>
      </c>
      <c r="E57" s="313">
        <f>E54+E55+E56</f>
        <v>129310.8769115055</v>
      </c>
      <c r="F57" s="31"/>
      <c r="H57" s="57">
        <v>1</v>
      </c>
      <c r="I57" s="58">
        <f>(SUMIF('ANX 1 - Descrip locaux - appd 1'!B:B,'ANX 1 - Légende - appd 2'!$H$11,'ANX 1 - Descrip locaux - appd 1'!X:X))*(1+$B$18)*(1+$B$19)*($F$54)</f>
        <v>535.41981045000011</v>
      </c>
      <c r="J57" s="577">
        <f>L57/1.2</f>
        <v>11507.064092921253</v>
      </c>
      <c r="K57" s="577"/>
      <c r="L57" s="59">
        <f>I57*'Coût à l''heure'!$C$14+'Prest à la demande OCCA'!$I$6+'Prest à la demande OCCA'!$U$6+'Prest à la demande HABI'!$I$6+'Prest à la demande HABI'!$U$6</f>
        <v>13808.476911505502</v>
      </c>
    </row>
    <row r="58" spans="1:12" x14ac:dyDescent="0.35">
      <c r="A58" s="368"/>
      <c r="B58" s="368"/>
      <c r="C58" s="368"/>
      <c r="D58" s="369"/>
      <c r="E58" s="369"/>
      <c r="F58" s="31"/>
      <c r="H58" s="61">
        <v>2</v>
      </c>
      <c r="I58" s="62">
        <f>(SUMIF('ANX 1 - Descrip locaux - appd 1'!B:B,'ANX 1 - Légende - appd 2'!$H$12,'ANX 1 - Descrip locaux - appd 1'!X:X))*(1+$B$18)*(1+$B$19)*($F$54)</f>
        <v>0</v>
      </c>
      <c r="J58" s="576">
        <f>L58/1.2</f>
        <v>96252</v>
      </c>
      <c r="K58" s="576"/>
      <c r="L58" s="63">
        <f>I58*'Coût à l''heure'!$C$14+'Prest à la demande OCCA'!$M$6+'Prest à la demande OCCA'!$Y$6+'Prest à la demande HABI'!$M$6+'Prest à la demande HABI'!$Y$6</f>
        <v>115502.39999999999</v>
      </c>
    </row>
    <row r="59" spans="1:12" ht="14.5" thickBot="1" x14ac:dyDescent="0.4">
      <c r="A59" s="572" t="s">
        <v>448</v>
      </c>
      <c r="B59" s="582"/>
      <c r="C59" s="582"/>
      <c r="D59" s="46">
        <f>E59/1.2</f>
        <v>0</v>
      </c>
      <c r="E59" s="46">
        <f>$L$18+$L$20</f>
        <v>0</v>
      </c>
      <c r="H59" s="66">
        <v>3</v>
      </c>
      <c r="I59" s="67">
        <f>(SUMIF('ANX 1 - Descrip locaux - appd 1'!B:B,'ANX 1 - Légende - appd 2'!$H$13,'ANX 1 - Descrip locaux - appd 1'!X:X))*(1+$B$18)*(1+$B$19)*($F$54)</f>
        <v>0</v>
      </c>
      <c r="J59" s="575">
        <f>L59/1.2</f>
        <v>0</v>
      </c>
      <c r="K59" s="575"/>
      <c r="L59" s="68">
        <f>I59*'Coût à l''heure'!$C$14+$L$18+$L$20</f>
        <v>0</v>
      </c>
    </row>
    <row r="60" spans="1:12" ht="14.5" thickBot="1" x14ac:dyDescent="0.4">
      <c r="A60" s="363"/>
      <c r="B60" s="363"/>
      <c r="C60" s="363"/>
      <c r="D60" s="369"/>
      <c r="E60" s="369"/>
      <c r="H60" s="26"/>
    </row>
    <row r="61" spans="1:12" x14ac:dyDescent="0.35">
      <c r="A61" s="583" t="s">
        <v>459</v>
      </c>
      <c r="B61" s="583"/>
      <c r="C61" s="583"/>
      <c r="D61" s="312">
        <f>E61/1.2</f>
        <v>107759.06409292125</v>
      </c>
      <c r="E61" s="312">
        <f>E59+E57</f>
        <v>129310.8769115055</v>
      </c>
      <c r="H61" s="566" t="s">
        <v>450</v>
      </c>
      <c r="I61" s="567"/>
      <c r="J61" s="567"/>
      <c r="K61" s="567"/>
      <c r="L61" s="568"/>
    </row>
    <row r="62" spans="1:12" ht="14.5" thickBot="1" x14ac:dyDescent="0.4">
      <c r="H62" s="56" t="str">
        <f>IF(ABS(L63+L64+L65+L66+L67+L68+L69+L70-E61)&lt;1,"","Erreur ")</f>
        <v/>
      </c>
      <c r="I62" s="300" t="s">
        <v>64</v>
      </c>
      <c r="J62" s="569" t="s">
        <v>51</v>
      </c>
      <c r="K62" s="569"/>
      <c r="L62" s="301" t="s">
        <v>52</v>
      </c>
    </row>
    <row r="63" spans="1:12" x14ac:dyDescent="0.35">
      <c r="H63" s="305" t="s">
        <v>451</v>
      </c>
      <c r="I63" s="58">
        <f>SUMIFS('ANX 1 - Descrip locaux - appd 1'!X:X,'ANX 1 - Descrip locaux - appd 1'!B:B,'ANX 1 - Légende - appd 2'!$H$11,'ANX 1 - Descrip locaux - appd 1'!C:C,'ANX 1 - Légende - appd 2'!$K$11)*(1+$B$18)*(1+$B$19)*($F$54)</f>
        <v>0</v>
      </c>
      <c r="J63" s="577">
        <f t="shared" ref="J63:J70" si="1">L63/1.2</f>
        <v>0</v>
      </c>
      <c r="K63" s="577"/>
      <c r="L63" s="59">
        <f>I63*'Coût à l''heure'!$C$14+'Prest à la demande OCCA'!$I$6+'Prest à la demande HABI'!$I$6</f>
        <v>0</v>
      </c>
    </row>
    <row r="64" spans="1:12" x14ac:dyDescent="0.35">
      <c r="H64" s="306" t="s">
        <v>452</v>
      </c>
      <c r="I64" s="62">
        <f>SUMIFS('ANX 1 - Descrip locaux - appd 1'!X:X,'ANX 1 - Descrip locaux - appd 1'!B:B,'ANX 1 - Légende - appd 2'!$H$11,'ANX 1 - Descrip locaux - appd 1'!C:C,'ANX 1 - Légende - appd 2'!$K$12)*(1+$B$18)*(1+$B$19)*($F$54)</f>
        <v>535.41981045000011</v>
      </c>
      <c r="J64" s="576">
        <f t="shared" si="1"/>
        <v>11507.064092921253</v>
      </c>
      <c r="K64" s="576"/>
      <c r="L64" s="63">
        <f>I64*'Coût à l''heure'!$C$14+'Prest à la demande OCCA'!$U$6+'Prest à la demande HABI'!$U$6</f>
        <v>13808.476911505502</v>
      </c>
    </row>
    <row r="65" spans="8:12" x14ac:dyDescent="0.35">
      <c r="H65" s="364" t="s">
        <v>453</v>
      </c>
      <c r="I65" s="365">
        <f>SUMIFS('ANX 1 - Descrip locaux - appd 1'!X:X,'ANX 1 - Descrip locaux - appd 1'!B:B,'ANX 1 - Légende - appd 2'!$H$11,'ANX 1 - Descrip locaux - appd 1'!C:C,'ANX 1 - Légende - appd 2'!$K$13)*(1+$B$18)*(1+$B$19)*($F$54)</f>
        <v>0</v>
      </c>
      <c r="J65" s="580">
        <f t="shared" si="1"/>
        <v>0</v>
      </c>
      <c r="K65" s="580"/>
      <c r="L65" s="366">
        <f>I65*'Coût à l''heure'!$C$14</f>
        <v>0</v>
      </c>
    </row>
    <row r="66" spans="8:12" x14ac:dyDescent="0.35">
      <c r="H66" s="307" t="s">
        <v>454</v>
      </c>
      <c r="I66" s="62">
        <f>SUMIFS('ANX 1 - Descrip locaux - appd 1'!X:X,'ANX 1 - Descrip locaux - appd 1'!B:B,'ANX 1 - Légende - appd 2'!$H$12,'ANX 1 - Descrip locaux - appd 1'!C:C,'ANX 1 - Légende - appd 2'!$K$11)*(1+$B$18)*(1+$B$19)*($F$54)</f>
        <v>0</v>
      </c>
      <c r="J66" s="576">
        <f t="shared" si="1"/>
        <v>0</v>
      </c>
      <c r="K66" s="576"/>
      <c r="L66" s="63">
        <f>I66*'Coût à l''heure'!$C$14+'Prest à la demande OCCA'!$M$6+'Prest à la demande HABI'!$M$6</f>
        <v>0</v>
      </c>
    </row>
    <row r="67" spans="8:12" x14ac:dyDescent="0.35">
      <c r="H67" s="308" t="s">
        <v>455</v>
      </c>
      <c r="I67" s="62">
        <f>SUMIFS('ANX 1 - Descrip locaux - appd 1'!X:X,'ANX 1 - Descrip locaux - appd 1'!B:B,'ANX 1 - Légende - appd 2'!$H$12,'ANX 1 - Descrip locaux - appd 1'!C:C,'ANX 1 - Légende - appd 2'!$K$12)*(1+$B$18)*(1+$B$19)*($F$54)</f>
        <v>0</v>
      </c>
      <c r="J67" s="576">
        <f t="shared" si="1"/>
        <v>96252</v>
      </c>
      <c r="K67" s="576"/>
      <c r="L67" s="63">
        <f>I67*'Coût à l''heure'!$C$14+'Prest à la demande OCCA'!$Y$6+'Prest à la demande HABI'!$Y$6</f>
        <v>115502.39999999999</v>
      </c>
    </row>
    <row r="68" spans="8:12" x14ac:dyDescent="0.35">
      <c r="H68" s="306" t="s">
        <v>456</v>
      </c>
      <c r="I68" s="70">
        <f>SUMIFS('ANX 1 - Descrip locaux - appd 1'!X:X,'ANX 1 - Descrip locaux - appd 1'!B:B,'ANX 1 - Légende - appd 2'!$H$13,'ANX 1 - Descrip locaux - appd 1'!C:C,'ANX 1 - Légende - appd 2'!$K$11)*(1+$B$18)*(1+$B$19)*($F$54)</f>
        <v>0</v>
      </c>
      <c r="J68" s="576">
        <f t="shared" si="1"/>
        <v>0</v>
      </c>
      <c r="K68" s="576"/>
      <c r="L68" s="63">
        <f>I68*'Coût à l''heure'!$C$14+'Prest à la demande OCCA'!$Q$6+'Prest à la demande HABI'!$Q$6</f>
        <v>0</v>
      </c>
    </row>
    <row r="69" spans="8:12" x14ac:dyDescent="0.35">
      <c r="H69" s="306" t="s">
        <v>457</v>
      </c>
      <c r="I69" s="70">
        <f>SUMIFS('ANX 1 - Descrip locaux - appd 1'!X:X,'ANX 1 - Descrip locaux - appd 1'!B:B,'ANX 1 - Légende - appd 2'!$H$13,'ANX 1 - Descrip locaux - appd 1'!C:C,'ANX 1 - Légende - appd 2'!$K$12)*(1+$B$18)*(1+$B$19)*($F$54)</f>
        <v>0</v>
      </c>
      <c r="J69" s="576">
        <f t="shared" si="1"/>
        <v>0</v>
      </c>
      <c r="K69" s="576"/>
      <c r="L69" s="63">
        <f>I69*'Coût à l''heure'!$C$14+'Prest à la demande OCCA'!$AC$6+'Prest à la demande HABI'!$AC$6+$L$20</f>
        <v>0</v>
      </c>
    </row>
    <row r="70" spans="8:12" ht="14.5" thickBot="1" x14ac:dyDescent="0.4">
      <c r="H70" s="310" t="s">
        <v>458</v>
      </c>
      <c r="I70" s="74">
        <f>SUMIFS('ANX 1 - Descrip locaux - appd 1'!X:X,'ANX 1 - Descrip locaux - appd 1'!B:B,'ANX 1 - Légende - appd 2'!$H$13,'ANX 1 - Descrip locaux - appd 1'!C:C,'[5]ANX 1 - Légende - appd 2'!$K$13)*(1+$B$18)*(1+$B$19)*($F$54)</f>
        <v>0</v>
      </c>
      <c r="J70" s="575">
        <f t="shared" si="1"/>
        <v>0</v>
      </c>
      <c r="K70" s="575"/>
      <c r="L70" s="68">
        <f>I70*'Coût à l''heure'!$C$14+$L$18</f>
        <v>0</v>
      </c>
    </row>
  </sheetData>
  <sheetProtection selectLockedCells="1" selectUnlockedCells="1"/>
  <mergeCells count="75">
    <mergeCell ref="J69:K69"/>
    <mergeCell ref="J70:K70"/>
    <mergeCell ref="J63:K63"/>
    <mergeCell ref="J64:K64"/>
    <mergeCell ref="J65:K65"/>
    <mergeCell ref="J66:K66"/>
    <mergeCell ref="J67:K67"/>
    <mergeCell ref="J68:K68"/>
    <mergeCell ref="J62:K62"/>
    <mergeCell ref="A55:C55"/>
    <mergeCell ref="H55:L55"/>
    <mergeCell ref="A56:C56"/>
    <mergeCell ref="J56:K56"/>
    <mergeCell ref="A57:C57"/>
    <mergeCell ref="J57:K57"/>
    <mergeCell ref="J58:K58"/>
    <mergeCell ref="A59:C59"/>
    <mergeCell ref="J59:K59"/>
    <mergeCell ref="H61:L61"/>
    <mergeCell ref="A61:C61"/>
    <mergeCell ref="A54:C54"/>
    <mergeCell ref="J42:K42"/>
    <mergeCell ref="J43:K43"/>
    <mergeCell ref="J44:K44"/>
    <mergeCell ref="J45:K45"/>
    <mergeCell ref="A47:L47"/>
    <mergeCell ref="H49:L49"/>
    <mergeCell ref="J50:K50"/>
    <mergeCell ref="J51:K51"/>
    <mergeCell ref="J52:K52"/>
    <mergeCell ref="A53:C53"/>
    <mergeCell ref="J53:K53"/>
    <mergeCell ref="A31:C31"/>
    <mergeCell ref="J31:K31"/>
    <mergeCell ref="J41:K41"/>
    <mergeCell ref="J32:K32"/>
    <mergeCell ref="J33:K33"/>
    <mergeCell ref="J34:K34"/>
    <mergeCell ref="H36:L36"/>
    <mergeCell ref="J37:K37"/>
    <mergeCell ref="J38:K38"/>
    <mergeCell ref="J39:K39"/>
    <mergeCell ref="J40:K40"/>
    <mergeCell ref="A32:C32"/>
    <mergeCell ref="A34:C34"/>
    <mergeCell ref="A36:C36"/>
    <mergeCell ref="J26:K26"/>
    <mergeCell ref="J27:K27"/>
    <mergeCell ref="A29:C29"/>
    <mergeCell ref="Q29:R29"/>
    <mergeCell ref="A30:C30"/>
    <mergeCell ref="H30:L30"/>
    <mergeCell ref="A28:C28"/>
    <mergeCell ref="J28:K28"/>
    <mergeCell ref="F18:K18"/>
    <mergeCell ref="F20:K20"/>
    <mergeCell ref="A22:L22"/>
    <mergeCell ref="H24:L24"/>
    <mergeCell ref="J25:K25"/>
    <mergeCell ref="A12:C12"/>
    <mergeCell ref="G12:K12"/>
    <mergeCell ref="A14:L14"/>
    <mergeCell ref="A16:L16"/>
    <mergeCell ref="F5:H5"/>
    <mergeCell ref="F6:H6"/>
    <mergeCell ref="A8:L8"/>
    <mergeCell ref="A10:C10"/>
    <mergeCell ref="G10:K10"/>
    <mergeCell ref="A11:C11"/>
    <mergeCell ref="G11:K11"/>
    <mergeCell ref="A1:H1"/>
    <mergeCell ref="A2:L2"/>
    <mergeCell ref="A4:B4"/>
    <mergeCell ref="C4:D4"/>
    <mergeCell ref="F4:H4"/>
  </mergeCells>
  <conditionalFormatting sqref="E44">
    <cfRule type="cellIs" dxfId="0" priority="1" operator="greaterThan">
      <formula>#REF!</formula>
    </cfRule>
  </conditionalFormatting>
  <dataValidations count="3">
    <dataValidation type="textLength" allowBlank="1" showInputMessage="1" showErrorMessage="1" error="Masquer l'onglet pour l'appel d'offres !" prompt="Masquer l'onglet pour l'appel d'offres !" sqref="K1:O1">
      <formula1>10000000</formula1>
      <formula2>10000000</formula2>
    </dataValidation>
    <dataValidation type="textLength" allowBlank="1" showInputMessage="1" showErrorMessage="1" error="ACHETEUR : PROTÉGER LA FEUILLE + MASQUER ONGLET POUR GS + POUR L'APPEL D'OFFRES." prompt="ACHETEUR : PROTÉGER LA FEUILLE + MASQUER ONGLET POUR GS + POUR L'APPEL D'OFFRES." sqref="J1">
      <formula1>1000</formula1>
      <formula2>1000</formula2>
    </dataValidation>
    <dataValidation type="textLength" allowBlank="1" showInputMessage="1" showErrorMessage="1" error="ACHETEUR : PROTÉGER LA FEUILLE / MASQUER ONGLET POUR GS + POUR L'APPEL D'OFFRES." prompt="ACHETEUR : PROTÉGER LA FEUILLE / MASQUER ONGLET POUR GS + POUR L'APPEL D'OFFRES." sqref="O30">
      <formula1>1000</formula1>
      <formula2>1000</formula2>
    </dataValidation>
  </dataValidations>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1:AG21"/>
  <sheetViews>
    <sheetView zoomScale="70" zoomScaleNormal="70" workbookViewId="0">
      <selection activeCell="X13" sqref="X13"/>
    </sheetView>
  </sheetViews>
  <sheetFormatPr baseColWidth="10" defaultColWidth="8.90625" defaultRowHeight="14" x14ac:dyDescent="0.3"/>
  <cols>
    <col min="1" max="1" width="0.7265625" style="92" customWidth="1"/>
    <col min="2" max="3" width="18.7265625" style="92" customWidth="1"/>
    <col min="4" max="4" width="26.08984375" style="203" customWidth="1"/>
    <col min="5" max="5" width="16.90625" style="92" customWidth="1"/>
    <col min="6" max="6" width="21" style="92" customWidth="1"/>
    <col min="7" max="7" width="19.26953125" style="92" customWidth="1"/>
    <col min="8" max="8" width="19.7265625" style="92" customWidth="1"/>
    <col min="9" max="9" width="0.81640625" style="92" customWidth="1"/>
    <col min="10" max="10" width="15.453125" style="92" customWidth="1"/>
    <col min="11" max="11" width="0.81640625" style="92" customWidth="1"/>
    <col min="12" max="12" width="17.7265625" style="92" customWidth="1"/>
    <col min="13" max="13" width="0.81640625" style="92" customWidth="1"/>
    <col min="14" max="14" width="20.26953125" style="92" customWidth="1"/>
    <col min="15" max="15" width="0.81640625" style="92" customWidth="1"/>
    <col min="16" max="16" width="18.54296875" style="92" customWidth="1"/>
    <col min="17" max="17" width="0.81640625" style="92" customWidth="1"/>
    <col min="18" max="18" width="26.36328125" style="92" customWidth="1"/>
    <col min="19" max="19" width="13.36328125" style="212" customWidth="1"/>
    <col min="20" max="20" width="20.7265625" style="92" customWidth="1"/>
    <col min="21" max="21" width="14.90625" style="186" customWidth="1"/>
    <col min="22" max="22" width="18.36328125" style="213" customWidth="1"/>
    <col min="23" max="16384" width="8.90625" style="92"/>
  </cols>
  <sheetData>
    <row r="1" spans="2:33" ht="43" customHeight="1" x14ac:dyDescent="0.3">
      <c r="B1" s="204" t="s">
        <v>500</v>
      </c>
      <c r="C1" s="134"/>
      <c r="D1" s="393"/>
      <c r="E1" s="134"/>
      <c r="F1" s="134"/>
      <c r="G1" s="134"/>
      <c r="H1" s="134"/>
      <c r="I1" s="134"/>
      <c r="J1" s="134"/>
      <c r="K1" s="134"/>
      <c r="L1" s="134"/>
    </row>
    <row r="2" spans="2:33" ht="30.5" customHeight="1" thickBot="1" x14ac:dyDescent="0.65">
      <c r="B2" s="202" t="s">
        <v>382</v>
      </c>
      <c r="C2" s="202"/>
      <c r="E2" s="371" t="str">
        <f>'ANX 1 - Légende - appd 2'!A4</f>
        <v>DAF_2025_000478</v>
      </c>
      <c r="F2" s="372"/>
      <c r="G2" s="372"/>
      <c r="H2" s="384" t="str">
        <f>'ANX 1 - Légende - appd 2'!C4</f>
        <v>LOT UNIQUE :  HÔTEL de BROGLIE - STRASBOURG</v>
      </c>
      <c r="I2" s="371"/>
      <c r="J2" s="371"/>
      <c r="K2" s="372"/>
      <c r="L2" s="372"/>
      <c r="M2" s="373"/>
      <c r="N2" s="373"/>
      <c r="O2" s="373"/>
      <c r="P2" s="371"/>
      <c r="Q2" s="371"/>
      <c r="R2" s="371" t="s">
        <v>460</v>
      </c>
      <c r="S2" s="371"/>
      <c r="T2" s="371"/>
      <c r="U2" s="92"/>
      <c r="AE2" s="205"/>
      <c r="AF2" s="205"/>
      <c r="AG2" s="205"/>
    </row>
    <row r="3" spans="2:33" ht="20.5" customHeight="1" thickBot="1" x14ac:dyDescent="0.35">
      <c r="B3" s="608" t="s">
        <v>383</v>
      </c>
      <c r="C3" s="322"/>
      <c r="D3" s="595" t="s">
        <v>384</v>
      </c>
      <c r="E3" s="595"/>
      <c r="F3" s="609"/>
      <c r="G3" s="206">
        <v>48</v>
      </c>
      <c r="H3" s="65" t="s">
        <v>109</v>
      </c>
      <c r="I3" s="207"/>
      <c r="N3" s="207"/>
      <c r="O3" s="207"/>
      <c r="P3" s="104"/>
      <c r="Q3" s="104"/>
      <c r="R3" s="610" t="s">
        <v>110</v>
      </c>
      <c r="S3" s="610"/>
      <c r="T3" s="611">
        <v>12</v>
      </c>
      <c r="U3" s="612"/>
      <c r="V3" s="208" t="s">
        <v>109</v>
      </c>
    </row>
    <row r="4" spans="2:33" ht="20.5" customHeight="1" thickBot="1" x14ac:dyDescent="0.35">
      <c r="B4" s="608"/>
      <c r="C4" s="322"/>
      <c r="D4" s="613" t="s">
        <v>385</v>
      </c>
      <c r="E4" s="613"/>
      <c r="F4" s="614"/>
      <c r="G4" s="206">
        <v>1</v>
      </c>
      <c r="H4" s="65" t="s">
        <v>111</v>
      </c>
      <c r="I4" s="207"/>
      <c r="N4" s="207"/>
      <c r="O4" s="207"/>
      <c r="P4" s="104"/>
      <c r="Q4" s="104"/>
      <c r="R4" s="610" t="s">
        <v>386</v>
      </c>
      <c r="S4" s="610"/>
      <c r="T4" s="615">
        <f>ROUND((U10+U12+U14+U16+U18),2)</f>
        <v>1</v>
      </c>
      <c r="U4" s="616"/>
      <c r="V4" s="209" t="s">
        <v>8</v>
      </c>
    </row>
    <row r="5" spans="2:33" ht="20" customHeight="1" thickBot="1" x14ac:dyDescent="0.35">
      <c r="B5" s="608"/>
      <c r="C5" s="322"/>
      <c r="D5" s="595" t="s">
        <v>112</v>
      </c>
      <c r="E5" s="595"/>
      <c r="F5" s="609"/>
      <c r="G5" s="210">
        <v>0.01</v>
      </c>
      <c r="H5" s="65" t="s">
        <v>8</v>
      </c>
      <c r="I5" s="207"/>
      <c r="N5" s="207"/>
      <c r="O5" s="207"/>
      <c r="P5" s="104"/>
      <c r="Q5" s="104"/>
      <c r="R5" s="595" t="s">
        <v>113</v>
      </c>
      <c r="S5" s="595"/>
      <c r="T5" s="596">
        <v>0.2</v>
      </c>
      <c r="U5" s="597"/>
      <c r="V5" s="211" t="s">
        <v>8</v>
      </c>
    </row>
    <row r="6" spans="2:33" ht="25" customHeight="1" thickBot="1" x14ac:dyDescent="0.35">
      <c r="B6" s="82"/>
      <c r="C6" s="82"/>
      <c r="H6" s="28"/>
      <c r="I6" s="28"/>
      <c r="R6" s="595" t="s">
        <v>401</v>
      </c>
      <c r="S6" s="595"/>
      <c r="T6" s="596">
        <v>0.1</v>
      </c>
      <c r="U6" s="597"/>
      <c r="V6" s="211" t="s">
        <v>8</v>
      </c>
    </row>
    <row r="7" spans="2:33" ht="15" customHeight="1" thickBot="1" x14ac:dyDescent="0.45">
      <c r="B7" s="214" t="s">
        <v>122</v>
      </c>
      <c r="C7" s="214"/>
      <c r="D7" s="215"/>
      <c r="E7" s="598" t="s">
        <v>387</v>
      </c>
      <c r="F7" s="599"/>
      <c r="G7" s="599"/>
      <c r="H7" s="600"/>
      <c r="I7" s="216"/>
      <c r="J7" s="601" t="s">
        <v>114</v>
      </c>
      <c r="K7" s="602"/>
      <c r="L7" s="603"/>
      <c r="M7" s="603"/>
      <c r="N7" s="603"/>
      <c r="O7" s="604"/>
      <c r="P7" s="605"/>
      <c r="Q7" s="216"/>
    </row>
    <row r="8" spans="2:33" ht="71.5" customHeight="1" thickBot="1" x14ac:dyDescent="0.35">
      <c r="B8" s="606" t="s">
        <v>388</v>
      </c>
      <c r="C8" s="606"/>
      <c r="D8" s="607"/>
      <c r="E8" s="217" t="s">
        <v>115</v>
      </c>
      <c r="F8" s="218" t="s">
        <v>461</v>
      </c>
      <c r="G8" s="219" t="s">
        <v>494</v>
      </c>
      <c r="H8" s="220" t="s">
        <v>389</v>
      </c>
      <c r="I8" s="221"/>
      <c r="J8" s="222" t="s">
        <v>116</v>
      </c>
      <c r="K8" s="223"/>
      <c r="L8" s="224" t="s">
        <v>117</v>
      </c>
      <c r="M8" s="225"/>
      <c r="N8" s="226" t="s">
        <v>494</v>
      </c>
      <c r="O8" s="227"/>
      <c r="P8" s="228" t="s">
        <v>389</v>
      </c>
      <c r="Q8" s="229"/>
      <c r="R8" s="230" t="s">
        <v>390</v>
      </c>
      <c r="S8" s="231" t="s">
        <v>118</v>
      </c>
      <c r="T8" s="232" t="s">
        <v>391</v>
      </c>
      <c r="U8" s="233">
        <v>1</v>
      </c>
      <c r="V8" s="234" t="s">
        <v>392</v>
      </c>
    </row>
    <row r="9" spans="2:33" ht="3.5" customHeight="1" thickBot="1" x14ac:dyDescent="0.35">
      <c r="B9" s="235"/>
      <c r="C9" s="235"/>
      <c r="D9" s="236"/>
      <c r="E9" s="237"/>
      <c r="F9" s="238"/>
      <c r="G9" s="239"/>
      <c r="H9" s="240"/>
      <c r="I9" s="221"/>
      <c r="J9" s="237"/>
      <c r="K9" s="223"/>
      <c r="L9" s="239"/>
      <c r="M9" s="225"/>
      <c r="N9" s="239"/>
      <c r="O9" s="227"/>
      <c r="P9" s="240"/>
      <c r="Q9" s="241"/>
      <c r="R9" s="242"/>
      <c r="S9" s="243"/>
      <c r="T9" s="244"/>
      <c r="U9" s="245"/>
      <c r="V9" s="246"/>
    </row>
    <row r="10" spans="2:33" ht="46.5" customHeight="1" thickBot="1" x14ac:dyDescent="0.35">
      <c r="B10" s="585" t="s">
        <v>462</v>
      </c>
      <c r="C10" s="585" t="s">
        <v>66</v>
      </c>
      <c r="D10" s="374" t="s">
        <v>393</v>
      </c>
      <c r="E10" s="375">
        <f>ROUND(F10/(1+$T$5),2)</f>
        <v>0</v>
      </c>
      <c r="F10" s="376">
        <f>ROUND(ROUND(Montants!I38*'Coût à l''heure'!$C$14,2)*(1+$T$6),2)</f>
        <v>0</v>
      </c>
      <c r="G10" s="377">
        <f>ROUND((E10/$T$3)*$G$3,2)</f>
        <v>0</v>
      </c>
      <c r="H10" s="378">
        <f>ROUND(G10*(1+$T$5),2)</f>
        <v>0</v>
      </c>
      <c r="I10" s="221"/>
      <c r="J10" s="375">
        <f>ROUND((E10-(E10*$G$5)),2)</f>
        <v>0</v>
      </c>
      <c r="K10" s="223"/>
      <c r="L10" s="379">
        <f>ROUND(J10*(1+$T$5),2)</f>
        <v>0</v>
      </c>
      <c r="M10" s="225"/>
      <c r="N10" s="377">
        <f>ROUND((J10/$T$3)*$G$3,2)</f>
        <v>0</v>
      </c>
      <c r="O10" s="227"/>
      <c r="P10" s="378">
        <f>ROUND(N10*(1+$T$5),2)</f>
        <v>0</v>
      </c>
      <c r="Q10" s="258"/>
      <c r="R10" s="591" t="s">
        <v>119</v>
      </c>
      <c r="S10" s="587" t="s">
        <v>66</v>
      </c>
      <c r="T10" s="589">
        <f>SUM(P10:P11)</f>
        <v>0</v>
      </c>
      <c r="U10" s="584">
        <f>(T10*$U$8)/$P$21</f>
        <v>0</v>
      </c>
      <c r="V10" s="259">
        <f>ROUND((N10)+($G$4*J10),2)</f>
        <v>0</v>
      </c>
    </row>
    <row r="11" spans="2:33" ht="46.5" customHeight="1" thickBot="1" x14ac:dyDescent="0.35">
      <c r="B11" s="590"/>
      <c r="C11" s="586"/>
      <c r="D11" s="247" t="s">
        <v>463</v>
      </c>
      <c r="E11" s="253">
        <f t="shared" ref="E11:E16" si="0">ROUND(F11/(1+$T$5),2)</f>
        <v>0</v>
      </c>
      <c r="F11" s="249">
        <f>ROUND(('Prest à la demande OCCA'!I6+'Prest à la demande HABI'!I6)*(1+$T$6),2)</f>
        <v>0</v>
      </c>
      <c r="G11" s="250">
        <f t="shared" ref="G11:G18" si="1">ROUND((E11/$T$3)*$G$3,2)</f>
        <v>0</v>
      </c>
      <c r="H11" s="251">
        <f t="shared" ref="H11:H18" si="2">ROUND(G11*(1+$T$5),2)</f>
        <v>0</v>
      </c>
      <c r="I11" s="221"/>
      <c r="J11" s="253">
        <f>ROUND((E11-(E11*$G$5)),2)</f>
        <v>0</v>
      </c>
      <c r="K11" s="223"/>
      <c r="L11" s="255">
        <f t="shared" ref="L11:L17" si="3">ROUND(J11*(1+$T$5),2)</f>
        <v>0</v>
      </c>
      <c r="M11" s="225"/>
      <c r="N11" s="250">
        <f t="shared" ref="N11:N18" si="4">ROUND((J11/$T$3)*$G$3,2)</f>
        <v>0</v>
      </c>
      <c r="O11" s="227"/>
      <c r="P11" s="251">
        <f t="shared" ref="P11:P18" si="5">ROUND(N11*(1+$T$5),2)</f>
        <v>0</v>
      </c>
      <c r="Q11" s="258"/>
      <c r="R11" s="592"/>
      <c r="S11" s="594"/>
      <c r="T11" s="589"/>
      <c r="U11" s="584"/>
      <c r="V11" s="259">
        <f>ROUND((N11)+($G$4*J11),2)</f>
        <v>0</v>
      </c>
    </row>
    <row r="12" spans="2:33" ht="46.5" customHeight="1" thickBot="1" x14ac:dyDescent="0.35">
      <c r="B12" s="590"/>
      <c r="C12" s="585" t="s">
        <v>275</v>
      </c>
      <c r="D12" s="374" t="s">
        <v>393</v>
      </c>
      <c r="E12" s="375">
        <f t="shared" si="0"/>
        <v>14767.4</v>
      </c>
      <c r="F12" s="376">
        <f>ROUND(ROUND(Montants!I39*'Coût à l''heure'!$C$14,2)*(1+$T$6),2)</f>
        <v>17720.88</v>
      </c>
      <c r="G12" s="377">
        <f t="shared" si="1"/>
        <v>59069.599999999999</v>
      </c>
      <c r="H12" s="378">
        <f t="shared" si="2"/>
        <v>70883.520000000004</v>
      </c>
      <c r="I12" s="221"/>
      <c r="J12" s="375">
        <f>ROUND((E12-(E12*$G$5)),2)</f>
        <v>14619.73</v>
      </c>
      <c r="K12" s="223"/>
      <c r="L12" s="379">
        <f t="shared" si="3"/>
        <v>17543.68</v>
      </c>
      <c r="M12" s="225"/>
      <c r="N12" s="377">
        <f t="shared" si="4"/>
        <v>58478.92</v>
      </c>
      <c r="O12" s="227"/>
      <c r="P12" s="378">
        <f t="shared" si="5"/>
        <v>70174.7</v>
      </c>
      <c r="Q12" s="258"/>
      <c r="R12" s="592"/>
      <c r="S12" s="587" t="s">
        <v>275</v>
      </c>
      <c r="T12" s="589">
        <f>SUM(P12:P13)</f>
        <v>70174.7</v>
      </c>
      <c r="U12" s="584">
        <f>(T12*$U$8)/$P$21</f>
        <v>0.12240417443364518</v>
      </c>
      <c r="V12" s="259">
        <f t="shared" ref="V12:V18" si="6">ROUND((N12)+($G$4*J12),2)</f>
        <v>73098.649999999994</v>
      </c>
    </row>
    <row r="13" spans="2:33" ht="46.5" customHeight="1" thickBot="1" x14ac:dyDescent="0.35">
      <c r="B13" s="586"/>
      <c r="C13" s="586"/>
      <c r="D13" s="247" t="s">
        <v>463</v>
      </c>
      <c r="E13" s="253">
        <f t="shared" si="0"/>
        <v>0</v>
      </c>
      <c r="F13" s="249">
        <f>ROUND(('Prest à la demande OCCA'!U6+'Prest à la demande HABI'!U6)*(1+$T$6),2)</f>
        <v>0</v>
      </c>
      <c r="G13" s="250">
        <f t="shared" si="1"/>
        <v>0</v>
      </c>
      <c r="H13" s="251">
        <f t="shared" si="2"/>
        <v>0</v>
      </c>
      <c r="I13" s="221"/>
      <c r="J13" s="253">
        <f t="shared" ref="J13:J18" si="7">ROUND((E13-(E13*$G$5)),2)</f>
        <v>0</v>
      </c>
      <c r="K13" s="223"/>
      <c r="L13" s="255">
        <f t="shared" si="3"/>
        <v>0</v>
      </c>
      <c r="M13" s="225"/>
      <c r="N13" s="250">
        <f t="shared" si="4"/>
        <v>0</v>
      </c>
      <c r="O13" s="227"/>
      <c r="P13" s="251">
        <f t="shared" si="5"/>
        <v>0</v>
      </c>
      <c r="Q13" s="258"/>
      <c r="R13" s="592"/>
      <c r="S13" s="588"/>
      <c r="T13" s="589"/>
      <c r="U13" s="584"/>
      <c r="V13" s="259">
        <f t="shared" si="6"/>
        <v>0</v>
      </c>
    </row>
    <row r="14" spans="2:33" ht="46.5" customHeight="1" thickBot="1" x14ac:dyDescent="0.35">
      <c r="B14" s="585" t="s">
        <v>464</v>
      </c>
      <c r="C14" s="585" t="s">
        <v>66</v>
      </c>
      <c r="D14" s="374" t="s">
        <v>393</v>
      </c>
      <c r="E14" s="375">
        <f t="shared" si="0"/>
        <v>0</v>
      </c>
      <c r="F14" s="376">
        <f>ROUND(ROUND(Montants!I41*'Coût à l''heure'!$C$14,2)*(1+$T$6),2)</f>
        <v>0</v>
      </c>
      <c r="G14" s="377">
        <f t="shared" si="1"/>
        <v>0</v>
      </c>
      <c r="H14" s="378">
        <f t="shared" si="2"/>
        <v>0</v>
      </c>
      <c r="I14" s="221"/>
      <c r="J14" s="375">
        <f t="shared" si="7"/>
        <v>0</v>
      </c>
      <c r="K14" s="223"/>
      <c r="L14" s="379">
        <f t="shared" si="3"/>
        <v>0</v>
      </c>
      <c r="M14" s="225"/>
      <c r="N14" s="377">
        <f t="shared" si="4"/>
        <v>0</v>
      </c>
      <c r="O14" s="227"/>
      <c r="P14" s="378">
        <f t="shared" si="5"/>
        <v>0</v>
      </c>
      <c r="Q14" s="258"/>
      <c r="R14" s="592"/>
      <c r="S14" s="587" t="s">
        <v>66</v>
      </c>
      <c r="T14" s="589">
        <f>SUM(P14:P15)</f>
        <v>0</v>
      </c>
      <c r="U14" s="584">
        <f>(T14*$U$8)/$P$21</f>
        <v>0</v>
      </c>
      <c r="V14" s="259">
        <f t="shared" si="6"/>
        <v>0</v>
      </c>
    </row>
    <row r="15" spans="2:33" ht="46.5" customHeight="1" thickBot="1" x14ac:dyDescent="0.35">
      <c r="B15" s="590"/>
      <c r="C15" s="586"/>
      <c r="D15" s="247" t="s">
        <v>463</v>
      </c>
      <c r="E15" s="253">
        <f t="shared" si="0"/>
        <v>0</v>
      </c>
      <c r="F15" s="249">
        <f>ROUND(('Prest à la demande OCCA'!M6+'Prest à la demande HABI'!M6)*(1+$T$6),2)</f>
        <v>0</v>
      </c>
      <c r="G15" s="250">
        <f t="shared" si="1"/>
        <v>0</v>
      </c>
      <c r="H15" s="251">
        <f t="shared" si="2"/>
        <v>0</v>
      </c>
      <c r="I15" s="221"/>
      <c r="J15" s="253">
        <f t="shared" si="7"/>
        <v>0</v>
      </c>
      <c r="K15" s="223"/>
      <c r="L15" s="255">
        <f t="shared" si="3"/>
        <v>0</v>
      </c>
      <c r="M15" s="225"/>
      <c r="N15" s="250">
        <f t="shared" si="4"/>
        <v>0</v>
      </c>
      <c r="O15" s="227"/>
      <c r="P15" s="251">
        <f t="shared" si="5"/>
        <v>0</v>
      </c>
      <c r="Q15" s="258"/>
      <c r="R15" s="592"/>
      <c r="S15" s="594"/>
      <c r="T15" s="589"/>
      <c r="U15" s="584"/>
      <c r="V15" s="259">
        <f t="shared" si="6"/>
        <v>0</v>
      </c>
    </row>
    <row r="16" spans="2:33" ht="46.5" customHeight="1" thickBot="1" x14ac:dyDescent="0.35">
      <c r="B16" s="590"/>
      <c r="C16" s="585" t="s">
        <v>275</v>
      </c>
      <c r="D16" s="374" t="s">
        <v>393</v>
      </c>
      <c r="E16" s="375">
        <f t="shared" si="0"/>
        <v>0</v>
      </c>
      <c r="F16" s="376">
        <f>ROUND(ROUND(Montants!I42*'Coût à l''heure'!$C$14,2)*(1+$T$6),2)</f>
        <v>0</v>
      </c>
      <c r="G16" s="377">
        <f t="shared" si="1"/>
        <v>0</v>
      </c>
      <c r="H16" s="378">
        <f t="shared" si="2"/>
        <v>0</v>
      </c>
      <c r="I16" s="221"/>
      <c r="J16" s="375">
        <f t="shared" si="7"/>
        <v>0</v>
      </c>
      <c r="K16" s="223"/>
      <c r="L16" s="379">
        <f t="shared" si="3"/>
        <v>0</v>
      </c>
      <c r="M16" s="225"/>
      <c r="N16" s="377">
        <f t="shared" si="4"/>
        <v>0</v>
      </c>
      <c r="O16" s="227"/>
      <c r="P16" s="378">
        <f t="shared" si="5"/>
        <v>0</v>
      </c>
      <c r="Q16" s="258"/>
      <c r="R16" s="592"/>
      <c r="S16" s="587" t="s">
        <v>275</v>
      </c>
      <c r="T16" s="589">
        <f>SUM(P16:P17)</f>
        <v>503128.46</v>
      </c>
      <c r="U16" s="584">
        <f>(T16*$U$8)/$P$21</f>
        <v>0.87759582556635485</v>
      </c>
      <c r="V16" s="259">
        <f t="shared" si="6"/>
        <v>0</v>
      </c>
    </row>
    <row r="17" spans="2:22" ht="46.5" customHeight="1" thickBot="1" x14ac:dyDescent="0.35">
      <c r="B17" s="586"/>
      <c r="C17" s="586"/>
      <c r="D17" s="247" t="s">
        <v>463</v>
      </c>
      <c r="E17" s="253">
        <f>ROUND(F17/(1+$T$5),2)</f>
        <v>105877.2</v>
      </c>
      <c r="F17" s="249">
        <f>ROUND(('Prest à la demande OCCA'!Y6+'Prest à la demande HABI'!Y6)*(1+$T$6),2)</f>
        <v>127052.64</v>
      </c>
      <c r="G17" s="250">
        <f t="shared" si="1"/>
        <v>423508.8</v>
      </c>
      <c r="H17" s="251">
        <f t="shared" si="2"/>
        <v>508210.56</v>
      </c>
      <c r="I17" s="221"/>
      <c r="J17" s="253">
        <f t="shared" si="7"/>
        <v>104818.43</v>
      </c>
      <c r="K17" s="223"/>
      <c r="L17" s="255">
        <f t="shared" si="3"/>
        <v>125782.12</v>
      </c>
      <c r="M17" s="225"/>
      <c r="N17" s="250">
        <f t="shared" si="4"/>
        <v>419273.72</v>
      </c>
      <c r="O17" s="227"/>
      <c r="P17" s="251">
        <f t="shared" si="5"/>
        <v>503128.46</v>
      </c>
      <c r="Q17" s="258"/>
      <c r="R17" s="592"/>
      <c r="S17" s="588"/>
      <c r="T17" s="589"/>
      <c r="U17" s="584"/>
      <c r="V17" s="259">
        <f t="shared" si="6"/>
        <v>524092.15</v>
      </c>
    </row>
    <row r="18" spans="2:22" ht="70" x14ac:dyDescent="0.3">
      <c r="B18" s="380" t="s">
        <v>465</v>
      </c>
      <c r="C18" s="380" t="s">
        <v>63</v>
      </c>
      <c r="D18" s="247" t="s">
        <v>463</v>
      </c>
      <c r="E18" s="248">
        <f>ROUND(F18/(1+$T$5),2)</f>
        <v>0</v>
      </c>
      <c r="F18" s="250">
        <f>ROUND(L18/(1-G5),2)</f>
        <v>0</v>
      </c>
      <c r="G18" s="250">
        <f t="shared" si="1"/>
        <v>0</v>
      </c>
      <c r="H18" s="251">
        <f t="shared" si="2"/>
        <v>0</v>
      </c>
      <c r="I18" s="252"/>
      <c r="J18" s="253">
        <f t="shared" si="7"/>
        <v>0</v>
      </c>
      <c r="K18" s="254"/>
      <c r="L18" s="385">
        <v>0</v>
      </c>
      <c r="M18" s="256"/>
      <c r="N18" s="250">
        <f t="shared" si="4"/>
        <v>0</v>
      </c>
      <c r="O18" s="257"/>
      <c r="P18" s="251">
        <f t="shared" si="5"/>
        <v>0</v>
      </c>
      <c r="Q18" s="258"/>
      <c r="R18" s="593"/>
      <c r="S18" s="381" t="s">
        <v>63</v>
      </c>
      <c r="T18" s="382">
        <f>P18</f>
        <v>0</v>
      </c>
      <c r="U18" s="383">
        <f>(T18*$U$8)/$P$21</f>
        <v>0</v>
      </c>
      <c r="V18" s="259">
        <f t="shared" si="6"/>
        <v>0</v>
      </c>
    </row>
    <row r="19" spans="2:22" ht="14.5" thickBot="1" x14ac:dyDescent="0.35">
      <c r="B19" s="260"/>
      <c r="C19" s="260"/>
      <c r="D19" s="261"/>
      <c r="E19" s="262"/>
      <c r="F19" s="263"/>
      <c r="G19" s="264"/>
      <c r="H19" s="265"/>
      <c r="I19" s="266"/>
      <c r="J19" s="262"/>
      <c r="K19" s="267"/>
      <c r="L19" s="268"/>
      <c r="M19" s="269"/>
      <c r="N19" s="264"/>
      <c r="O19" s="270"/>
      <c r="P19" s="265"/>
      <c r="Q19" s="258"/>
      <c r="R19" s="271"/>
      <c r="S19" s="272"/>
      <c r="T19" s="273"/>
      <c r="U19" s="273"/>
      <c r="V19" s="274"/>
    </row>
    <row r="20" spans="2:22" ht="40.5" thickBot="1" x14ac:dyDescent="0.35">
      <c r="B20" s="275"/>
      <c r="C20" s="275"/>
      <c r="D20" s="275"/>
      <c r="E20" s="217" t="s">
        <v>115</v>
      </c>
      <c r="F20" s="218" t="s">
        <v>461</v>
      </c>
      <c r="G20" s="219" t="s">
        <v>494</v>
      </c>
      <c r="H20" s="220" t="s">
        <v>389</v>
      </c>
      <c r="I20" s="276"/>
      <c r="J20" s="222" t="s">
        <v>116</v>
      </c>
      <c r="K20" s="267"/>
      <c r="L20" s="222" t="s">
        <v>117</v>
      </c>
      <c r="M20" s="269"/>
      <c r="N20" s="226" t="s">
        <v>494</v>
      </c>
      <c r="O20" s="277"/>
      <c r="P20" s="228" t="s">
        <v>394</v>
      </c>
      <c r="Q20" s="278"/>
      <c r="R20" s="279"/>
      <c r="S20" s="280"/>
      <c r="U20" s="294"/>
      <c r="V20" s="281" t="s">
        <v>120</v>
      </c>
    </row>
    <row r="21" spans="2:22" ht="20.5" thickBot="1" x14ac:dyDescent="0.45">
      <c r="D21" s="282" t="s">
        <v>121</v>
      </c>
      <c r="E21" s="283">
        <f>SUM(E10:E18)</f>
        <v>120644.59999999999</v>
      </c>
      <c r="F21" s="283">
        <f>SUM(F10:F18)</f>
        <v>144773.51999999999</v>
      </c>
      <c r="G21" s="283">
        <f>SUM(G10:G18)</f>
        <v>482578.39999999997</v>
      </c>
      <c r="H21" s="284">
        <f>SUM(H10:H18)</f>
        <v>579094.07999999996</v>
      </c>
      <c r="I21" s="285"/>
      <c r="J21" s="283">
        <f>SUM(J10:J18)</f>
        <v>119438.15999999999</v>
      </c>
      <c r="K21" s="286"/>
      <c r="L21" s="283">
        <f>SUM(L10:L18)</f>
        <v>143325.79999999999</v>
      </c>
      <c r="M21" s="286"/>
      <c r="N21" s="287">
        <f>SUM(N10:N18)</f>
        <v>477752.63999999996</v>
      </c>
      <c r="O21" s="288"/>
      <c r="P21" s="289">
        <f>SUM(P10:P18)</f>
        <v>573303.16</v>
      </c>
      <c r="Q21" s="290"/>
      <c r="R21" s="291"/>
      <c r="S21" s="292"/>
      <c r="T21" s="293"/>
      <c r="U21" s="294"/>
      <c r="V21" s="295">
        <f>ROUND(SUM(V10:V18),2)</f>
        <v>597190.80000000005</v>
      </c>
    </row>
  </sheetData>
  <mergeCells count="34">
    <mergeCell ref="B3:B5"/>
    <mergeCell ref="D3:F3"/>
    <mergeCell ref="R3:S3"/>
    <mergeCell ref="T3:U3"/>
    <mergeCell ref="D4:F4"/>
    <mergeCell ref="R4:S4"/>
    <mergeCell ref="T4:U4"/>
    <mergeCell ref="D5:F5"/>
    <mergeCell ref="R5:S5"/>
    <mergeCell ref="T5:U5"/>
    <mergeCell ref="R6:S6"/>
    <mergeCell ref="T6:U6"/>
    <mergeCell ref="E7:H7"/>
    <mergeCell ref="J7:P7"/>
    <mergeCell ref="B8:D8"/>
    <mergeCell ref="B10:B13"/>
    <mergeCell ref="C10:C11"/>
    <mergeCell ref="R10:R18"/>
    <mergeCell ref="S10:S11"/>
    <mergeCell ref="T10:T11"/>
    <mergeCell ref="B14:B17"/>
    <mergeCell ref="C14:C15"/>
    <mergeCell ref="S14:S15"/>
    <mergeCell ref="T14:T15"/>
    <mergeCell ref="U10:U11"/>
    <mergeCell ref="C12:C13"/>
    <mergeCell ref="S12:S13"/>
    <mergeCell ref="T12:T13"/>
    <mergeCell ref="U12:U13"/>
    <mergeCell ref="U14:U15"/>
    <mergeCell ref="C16:C17"/>
    <mergeCell ref="S16:S17"/>
    <mergeCell ref="T16:T17"/>
    <mergeCell ref="U16:U17"/>
  </mergeCells>
  <dataValidations count="2">
    <dataValidation type="textLength" allowBlank="1" showInputMessage="1" showErrorMessage="1" error="LA MISE A JOUR EST À EFFECTUER DANS L'APPENDICE 2." prompt="LA MISE A JOUR EST À EFFECTUER DANS L'APPENDICE 2." sqref="H2 E2">
      <formula1>1000</formula1>
      <formula2>1000</formula2>
    </dataValidation>
    <dataValidation type="textLength" allowBlank="1" showInputMessage="1" showErrorMessage="1" error="ACHETEUR : PROTÉGER LA FEUILLE + MASQUER ONGLET POUR GS + POUR L'APPEL D'OFFRES." prompt="ACHETEUR : PROTÉGER LA FEUILLE + MASQUER ONGLET POUR GS + POUR L'APPEL D'OFFRES." sqref="B1">
      <formula1>1000</formula1>
      <formula2>1000</formula2>
    </dataValidation>
  </dataValidations>
  <pageMargins left="0.7" right="0.7" top="0.75" bottom="0.75" header="0.3" footer="0.3"/>
  <pageSetup paperSize="9"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63"/>
  <sheetViews>
    <sheetView zoomScale="80" zoomScaleNormal="80" workbookViewId="0">
      <selection activeCell="M42" sqref="M42"/>
    </sheetView>
  </sheetViews>
  <sheetFormatPr baseColWidth="10" defaultRowHeight="14.5" x14ac:dyDescent="0.35"/>
  <cols>
    <col min="2" max="2" width="40.90625" customWidth="1"/>
    <col min="3" max="3" width="3.453125" style="89" customWidth="1"/>
    <col min="4" max="4" width="38.453125" customWidth="1"/>
    <col min="5" max="5" width="3.453125" style="88" customWidth="1"/>
    <col min="6" max="6" width="38.453125" customWidth="1"/>
    <col min="7" max="7" width="3.453125" style="88" customWidth="1"/>
    <col min="8" max="8" width="38.453125" customWidth="1"/>
    <col min="9" max="9" width="3.453125" style="88" customWidth="1"/>
    <col min="10" max="10" width="13.54296875" customWidth="1"/>
  </cols>
  <sheetData>
    <row r="1" spans="1:17" ht="50.5" x14ac:dyDescent="0.35">
      <c r="A1" s="137" t="s">
        <v>505</v>
      </c>
      <c r="B1" s="390"/>
      <c r="C1" s="390"/>
      <c r="D1" s="390"/>
      <c r="E1" s="390"/>
      <c r="F1" s="390"/>
      <c r="G1" s="390"/>
      <c r="H1" s="390"/>
      <c r="I1" s="390"/>
      <c r="J1" s="390"/>
      <c r="K1" s="390"/>
      <c r="L1" s="390"/>
      <c r="M1" s="390"/>
      <c r="N1" s="390"/>
      <c r="O1" s="390"/>
      <c r="P1" s="390"/>
      <c r="Q1" s="390"/>
    </row>
    <row r="2" spans="1:17" x14ac:dyDescent="0.35">
      <c r="C2"/>
      <c r="E2"/>
      <c r="G2"/>
      <c r="I2"/>
    </row>
    <row r="3" spans="1:17" x14ac:dyDescent="0.35">
      <c r="C3"/>
      <c r="E3"/>
      <c r="G3"/>
      <c r="I3"/>
    </row>
    <row r="4" spans="1:17" s="86" customFormat="1" ht="20.149999999999999" customHeight="1" x14ac:dyDescent="0.45">
      <c r="A4" s="84" t="s">
        <v>123</v>
      </c>
      <c r="B4" s="84" t="s">
        <v>399</v>
      </c>
      <c r="C4" s="84"/>
      <c r="D4" s="84" t="s">
        <v>400</v>
      </c>
      <c r="E4" s="84"/>
      <c r="F4" s="84" t="s">
        <v>400</v>
      </c>
      <c r="G4" s="84"/>
      <c r="H4" s="84" t="s">
        <v>400</v>
      </c>
      <c r="I4" s="85"/>
    </row>
    <row r="5" spans="1:17" x14ac:dyDescent="0.35">
      <c r="A5" s="87" t="s">
        <v>68</v>
      </c>
      <c r="B5" s="88"/>
      <c r="D5" s="88"/>
      <c r="F5" s="88"/>
      <c r="H5" s="88"/>
    </row>
    <row r="6" spans="1:17" x14ac:dyDescent="0.35">
      <c r="D6" s="392"/>
      <c r="F6" s="392"/>
      <c r="H6" s="392"/>
    </row>
    <row r="7" spans="1:17" x14ac:dyDescent="0.35">
      <c r="D7" s="392"/>
      <c r="F7" s="392"/>
      <c r="H7" s="392"/>
    </row>
    <row r="8" spans="1:17" x14ac:dyDescent="0.35">
      <c r="D8" s="392"/>
      <c r="F8" s="392"/>
      <c r="H8" s="392"/>
    </row>
    <row r="9" spans="1:17" x14ac:dyDescent="0.35">
      <c r="D9" s="392"/>
      <c r="F9" s="392"/>
      <c r="H9" s="392"/>
    </row>
    <row r="10" spans="1:17" x14ac:dyDescent="0.35">
      <c r="D10" s="392"/>
      <c r="F10" s="392"/>
      <c r="H10" s="392"/>
    </row>
    <row r="11" spans="1:17" x14ac:dyDescent="0.35">
      <c r="D11" s="392"/>
      <c r="F11" s="392"/>
      <c r="H11" s="392"/>
    </row>
    <row r="12" spans="1:17" x14ac:dyDescent="0.35">
      <c r="D12" s="392"/>
      <c r="F12" s="392"/>
      <c r="H12" s="392"/>
    </row>
    <row r="13" spans="1:17" x14ac:dyDescent="0.35">
      <c r="D13" s="392"/>
      <c r="F13" s="392"/>
      <c r="H13" s="392"/>
    </row>
    <row r="14" spans="1:17" x14ac:dyDescent="0.35">
      <c r="D14" s="392"/>
      <c r="F14" s="392"/>
      <c r="H14" s="392"/>
    </row>
    <row r="15" spans="1:17" x14ac:dyDescent="0.35">
      <c r="D15" s="392"/>
      <c r="F15" s="392"/>
      <c r="H15" s="392"/>
    </row>
    <row r="16" spans="1:17" x14ac:dyDescent="0.35">
      <c r="D16" s="392"/>
      <c r="F16" s="392"/>
      <c r="H16" s="392"/>
    </row>
    <row r="17" spans="1:8" x14ac:dyDescent="0.35">
      <c r="D17" s="392"/>
      <c r="F17" s="392"/>
      <c r="H17" s="392"/>
    </row>
    <row r="18" spans="1:8" x14ac:dyDescent="0.35">
      <c r="D18" s="392"/>
      <c r="F18" s="392"/>
      <c r="H18" s="392"/>
    </row>
    <row r="19" spans="1:8" x14ac:dyDescent="0.35">
      <c r="D19" s="392"/>
      <c r="F19" s="392"/>
      <c r="H19" s="392"/>
    </row>
    <row r="20" spans="1:8" x14ac:dyDescent="0.35">
      <c r="D20" s="392"/>
      <c r="F20" s="392"/>
      <c r="H20" s="392"/>
    </row>
    <row r="21" spans="1:8" x14ac:dyDescent="0.35">
      <c r="D21" s="392"/>
      <c r="F21" s="392"/>
      <c r="H21" s="392"/>
    </row>
    <row r="22" spans="1:8" x14ac:dyDescent="0.35">
      <c r="D22" s="392"/>
      <c r="F22" s="392"/>
      <c r="H22" s="392"/>
    </row>
    <row r="23" spans="1:8" x14ac:dyDescent="0.35">
      <c r="A23" s="87" t="s">
        <v>69</v>
      </c>
      <c r="B23" s="88"/>
      <c r="D23" s="88"/>
      <c r="F23" s="88"/>
      <c r="H23" s="88"/>
    </row>
    <row r="24" spans="1:8" x14ac:dyDescent="0.35">
      <c r="D24" s="392"/>
      <c r="F24" s="392"/>
      <c r="H24" s="392"/>
    </row>
    <row r="25" spans="1:8" x14ac:dyDescent="0.35">
      <c r="D25" s="392"/>
      <c r="F25" s="392"/>
      <c r="H25" s="392"/>
    </row>
    <row r="26" spans="1:8" x14ac:dyDescent="0.35">
      <c r="D26" s="392"/>
      <c r="F26" s="392"/>
      <c r="H26" s="392"/>
    </row>
    <row r="27" spans="1:8" x14ac:dyDescent="0.35">
      <c r="D27" s="392"/>
      <c r="F27" s="392"/>
      <c r="H27" s="392"/>
    </row>
    <row r="28" spans="1:8" x14ac:dyDescent="0.35">
      <c r="D28" s="392"/>
      <c r="F28" s="392"/>
      <c r="H28" s="392"/>
    </row>
    <row r="29" spans="1:8" x14ac:dyDescent="0.35">
      <c r="D29" s="392"/>
      <c r="F29" s="392"/>
      <c r="H29" s="392"/>
    </row>
    <row r="30" spans="1:8" x14ac:dyDescent="0.35">
      <c r="D30" s="392"/>
      <c r="F30" s="392"/>
      <c r="H30" s="392"/>
    </row>
    <row r="31" spans="1:8" x14ac:dyDescent="0.35">
      <c r="D31" s="392"/>
      <c r="F31" s="392"/>
      <c r="H31" s="392"/>
    </row>
    <row r="32" spans="1:8" x14ac:dyDescent="0.35">
      <c r="D32" s="392"/>
      <c r="F32" s="392"/>
      <c r="H32" s="392"/>
    </row>
    <row r="33" spans="1:11" x14ac:dyDescent="0.35">
      <c r="D33" s="392"/>
      <c r="F33" s="392"/>
      <c r="H33" s="392"/>
    </row>
    <row r="34" spans="1:11" x14ac:dyDescent="0.35">
      <c r="D34" s="392"/>
      <c r="F34" s="392"/>
      <c r="H34" s="392"/>
    </row>
    <row r="35" spans="1:11" x14ac:dyDescent="0.35">
      <c r="D35" s="392"/>
      <c r="F35" s="392"/>
      <c r="H35" s="392"/>
    </row>
    <row r="36" spans="1:11" x14ac:dyDescent="0.35">
      <c r="D36" s="392"/>
      <c r="F36" s="392"/>
      <c r="H36" s="392"/>
    </row>
    <row r="37" spans="1:11" x14ac:dyDescent="0.35">
      <c r="D37" s="392"/>
      <c r="F37" s="392"/>
      <c r="H37" s="392"/>
    </row>
    <row r="38" spans="1:11" x14ac:dyDescent="0.35">
      <c r="D38" s="392"/>
      <c r="F38" s="392"/>
      <c r="H38" s="392"/>
    </row>
    <row r="39" spans="1:11" x14ac:dyDescent="0.35">
      <c r="D39" s="392"/>
      <c r="F39" s="392"/>
      <c r="H39" s="392"/>
    </row>
    <row r="40" spans="1:11" x14ac:dyDescent="0.35">
      <c r="D40" s="392"/>
      <c r="F40" s="392"/>
      <c r="H40" s="392"/>
    </row>
    <row r="41" spans="1:11" x14ac:dyDescent="0.35">
      <c r="A41" s="87" t="s">
        <v>124</v>
      </c>
      <c r="B41" s="88"/>
      <c r="D41" s="88"/>
      <c r="F41" s="88"/>
      <c r="H41" s="88"/>
    </row>
    <row r="42" spans="1:11" x14ac:dyDescent="0.35">
      <c r="D42" s="392"/>
      <c r="F42" s="392"/>
      <c r="H42" s="392"/>
      <c r="J42" s="90"/>
    </row>
    <row r="43" spans="1:11" x14ac:dyDescent="0.35">
      <c r="D43" s="392"/>
      <c r="F43" s="392"/>
      <c r="H43" s="392"/>
      <c r="J43" s="90"/>
      <c r="K43" s="90"/>
    </row>
    <row r="44" spans="1:11" x14ac:dyDescent="0.35">
      <c r="D44" s="392"/>
      <c r="F44" s="392"/>
      <c r="H44" s="392"/>
      <c r="J44" s="90"/>
      <c r="K44" s="90"/>
    </row>
    <row r="45" spans="1:11" x14ac:dyDescent="0.35">
      <c r="D45" s="392"/>
      <c r="F45" s="392"/>
      <c r="H45" s="392"/>
    </row>
    <row r="46" spans="1:11" x14ac:dyDescent="0.35">
      <c r="D46" s="392"/>
      <c r="F46" s="392"/>
      <c r="H46" s="392"/>
      <c r="J46" s="90"/>
      <c r="K46" s="90"/>
    </row>
    <row r="47" spans="1:11" x14ac:dyDescent="0.35">
      <c r="D47" s="392"/>
      <c r="F47" s="392"/>
      <c r="H47" s="392"/>
      <c r="J47" s="90"/>
      <c r="K47" s="90"/>
    </row>
    <row r="48" spans="1:11" x14ac:dyDescent="0.35">
      <c r="D48" s="392"/>
      <c r="F48" s="392"/>
      <c r="H48" s="392"/>
      <c r="K48" s="90"/>
    </row>
    <row r="49" spans="4:11" x14ac:dyDescent="0.35">
      <c r="D49" s="392"/>
      <c r="F49" s="392"/>
      <c r="H49" s="392"/>
      <c r="K49" s="90"/>
    </row>
    <row r="50" spans="4:11" x14ac:dyDescent="0.35">
      <c r="D50" s="392"/>
      <c r="F50" s="392"/>
      <c r="H50" s="392"/>
    </row>
    <row r="51" spans="4:11" x14ac:dyDescent="0.35">
      <c r="D51" s="392"/>
      <c r="F51" s="392"/>
      <c r="H51" s="392"/>
    </row>
    <row r="52" spans="4:11" x14ac:dyDescent="0.35">
      <c r="D52" s="392"/>
      <c r="F52" s="392"/>
      <c r="H52" s="392"/>
    </row>
    <row r="53" spans="4:11" x14ac:dyDescent="0.35">
      <c r="D53" s="392"/>
      <c r="F53" s="392"/>
      <c r="H53" s="392"/>
    </row>
    <row r="54" spans="4:11" x14ac:dyDescent="0.35">
      <c r="D54" s="392"/>
      <c r="F54" s="392"/>
      <c r="H54" s="392"/>
    </row>
    <row r="55" spans="4:11" x14ac:dyDescent="0.35">
      <c r="D55" s="392"/>
      <c r="F55" s="392"/>
      <c r="H55" s="392"/>
    </row>
    <row r="56" spans="4:11" x14ac:dyDescent="0.35">
      <c r="D56" s="392"/>
      <c r="F56" s="392"/>
      <c r="H56" s="392"/>
    </row>
    <row r="57" spans="4:11" x14ac:dyDescent="0.35">
      <c r="D57" s="392"/>
      <c r="F57" s="392"/>
      <c r="H57" s="392"/>
    </row>
    <row r="58" spans="4:11" x14ac:dyDescent="0.35">
      <c r="D58" s="392"/>
      <c r="F58" s="392"/>
      <c r="H58" s="392"/>
    </row>
    <row r="59" spans="4:11" x14ac:dyDescent="0.35">
      <c r="D59" s="392"/>
      <c r="F59" s="392"/>
      <c r="H59" s="392"/>
    </row>
    <row r="60" spans="4:11" x14ac:dyDescent="0.35">
      <c r="D60" s="392"/>
      <c r="F60" s="392"/>
      <c r="H60" s="392"/>
    </row>
    <row r="61" spans="4:11" x14ac:dyDescent="0.35">
      <c r="D61" s="392"/>
      <c r="F61" s="392"/>
      <c r="H61" s="392"/>
    </row>
    <row r="62" spans="4:11" x14ac:dyDescent="0.35">
      <c r="D62" s="392"/>
      <c r="F62" s="392"/>
      <c r="H62" s="392"/>
    </row>
    <row r="63" spans="4:11" x14ac:dyDescent="0.35">
      <c r="D63" s="392"/>
      <c r="F63" s="392"/>
      <c r="H63" s="392"/>
    </row>
  </sheetData>
  <dataValidations count="1">
    <dataValidation type="textLength" allowBlank="1" showInputMessage="1" showErrorMessage="1" error="ACHETEUR : MASQUER L'ONGLET POUR L'APPEL D'OFFRES." prompt="ACHETEUR : MASQUER L'ONGLET POUR L'APPEL D'OFFRES." sqref="A1">
      <formula1>1000</formula1>
      <formula2>1000</formula2>
    </dataValidation>
  </dataValidation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X1"/>
  <sheetViews>
    <sheetView zoomScale="50" zoomScaleNormal="50" workbookViewId="0">
      <selection activeCell="P48" sqref="P48"/>
    </sheetView>
  </sheetViews>
  <sheetFormatPr baseColWidth="10" defaultRowHeight="14.5" x14ac:dyDescent="0.35"/>
  <sheetData>
    <row r="1" spans="1:24" ht="50.5" x14ac:dyDescent="0.35">
      <c r="A1" s="137" t="s">
        <v>505</v>
      </c>
      <c r="B1" s="390"/>
      <c r="C1" s="390"/>
      <c r="D1" s="390"/>
      <c r="E1" s="390"/>
      <c r="F1" s="390"/>
      <c r="G1" s="390"/>
      <c r="H1" s="390"/>
      <c r="I1" s="390"/>
      <c r="J1" s="390"/>
      <c r="K1" s="390"/>
      <c r="L1" s="390"/>
      <c r="M1" s="390"/>
      <c r="N1" s="390"/>
      <c r="O1" s="390"/>
      <c r="P1" s="390"/>
      <c r="Q1" s="390"/>
      <c r="R1" s="390"/>
      <c r="S1" s="390"/>
      <c r="T1" s="390"/>
      <c r="U1" s="390"/>
      <c r="V1" s="390"/>
      <c r="W1" s="390"/>
      <c r="X1" s="390"/>
    </row>
  </sheetData>
  <dataValidations count="1">
    <dataValidation type="textLength" allowBlank="1" showInputMessage="1" showErrorMessage="1" error="ACHETEUR : MASQUER L'ONGLET POUR L'APPEL D'OFFRES." prompt="ACHETEUR : MASQUER L'ONGLET POUR L'APPEL D'OFFRES." sqref="A1">
      <formula1>1000</formula1>
      <formula2>1000</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2</vt:i4>
      </vt:variant>
    </vt:vector>
  </HeadingPairs>
  <TitlesOfParts>
    <vt:vector size="11" baseType="lpstr">
      <vt:lpstr>ANX 1 - Légende - appd 2</vt:lpstr>
      <vt:lpstr>ANX 1 - Descrip locaux - appd 1</vt:lpstr>
      <vt:lpstr>Prest à la demande OCCA</vt:lpstr>
      <vt:lpstr>Prest à la demande HABI</vt:lpstr>
      <vt:lpstr>Coût à l'heure</vt:lpstr>
      <vt:lpstr>Montants</vt:lpstr>
      <vt:lpstr>ESTIMATION POUR CIM</vt:lpstr>
      <vt:lpstr>Type de locaux</vt:lpstr>
      <vt:lpstr>SYMBOLES</vt:lpstr>
      <vt:lpstr>Montants!marge</vt:lpstr>
      <vt:lpstr>'Coût à l''heure'!Zone_d_impression</vt:lpstr>
    </vt:vector>
  </TitlesOfParts>
  <Company>MINISTERE DE LA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DIXMIER GUILLAUME</dc:creator>
  <cp:lastModifiedBy>DIXMIER Guillaume SECR ADMI CLAS NOR</cp:lastModifiedBy>
  <cp:lastPrinted>2025-09-10T09:29:30Z</cp:lastPrinted>
  <dcterms:created xsi:type="dcterms:W3CDTF">2013-10-17T12:54:32Z</dcterms:created>
  <dcterms:modified xsi:type="dcterms:W3CDTF">2025-09-10T09:29:37Z</dcterms:modified>
</cp:coreProperties>
</file>