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nous-my.sharepoint.com/personal/vade_cnous_fr/Documents/Documents/Achat_Commande publique/Marché 25-002PIL Pré-certification Crous/Accord-cadre/"/>
    </mc:Choice>
  </mc:AlternateContent>
  <xr:revisionPtr revIDLastSave="1534" documentId="8_{B17AAD44-5B67-4D5A-BD81-3E1D28AE0158}" xr6:coauthVersionLast="47" xr6:coauthVersionMax="47" xr10:uidLastSave="{5E30C7F5-7C99-40FD-A55A-CB88030A8000}"/>
  <bookViews>
    <workbookView xWindow="-110" yWindow="-110" windowWidth="19420" windowHeight="11500" firstSheet="10" activeTab="25" xr2:uid="{313A1B5E-A7CE-48DF-B144-DB8722393BE9}"/>
  </bookViews>
  <sheets>
    <sheet name="AIX" sheetId="1" r:id="rId1"/>
    <sheet name="AMIENS" sheetId="2" r:id="rId2"/>
    <sheet name="ANTILLES" sheetId="3" r:id="rId3"/>
    <sheet name="BFC" sheetId="4" r:id="rId4"/>
    <sheet name="BORDEAUX" sheetId="6" r:id="rId5"/>
    <sheet name="CLERMONT" sheetId="7" r:id="rId6"/>
    <sheet name="CORSE" sheetId="8" r:id="rId7"/>
    <sheet name="CRETEIL" sheetId="9" r:id="rId8"/>
    <sheet name="GRENOBLE" sheetId="10" r:id="rId9"/>
    <sheet name="LA REUNION" sheetId="11" r:id="rId10"/>
    <sheet name="LILLE" sheetId="12" r:id="rId11"/>
    <sheet name="LIMOGES" sheetId="14" r:id="rId12"/>
    <sheet name="LORRAINE" sheetId="15" r:id="rId13"/>
    <sheet name="LYON" sheetId="16" r:id="rId14"/>
    <sheet name="MONTPELLIER" sheetId="17" r:id="rId15"/>
    <sheet name="NANTES" sheetId="18" r:id="rId16"/>
    <sheet name="NICE" sheetId="19" r:id="rId17"/>
    <sheet name="NORMANDIE" sheetId="20" r:id="rId18"/>
    <sheet name="ORLEANS" sheetId="21" r:id="rId19"/>
    <sheet name="PARIS" sheetId="22" r:id="rId20"/>
    <sheet name="POITIERS" sheetId="23" r:id="rId21"/>
    <sheet name="REIMS" sheetId="24" r:id="rId22"/>
    <sheet name="RENNES" sheetId="25" r:id="rId23"/>
    <sheet name="STRASBOURG" sheetId="26" r:id="rId24"/>
    <sheet name="TOULOUSE" sheetId="27" r:id="rId25"/>
    <sheet name="VERSAILLES" sheetId="28" r:id="rId26"/>
  </sheets>
  <externalReferences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a">[1]Données!$A$1:$F$2000</definedName>
    <definedName name="Année">[2]tab1_emplois!$A$1</definedName>
    <definedName name="AUTO" localSheetId="1">[3]!AnalystSheetClose</definedName>
    <definedName name="AUTO" localSheetId="2">[3]!AnalystSheetClose</definedName>
    <definedName name="AUTO" localSheetId="3">[3]!AnalystSheetClose</definedName>
    <definedName name="AUTO" localSheetId="4">[3]!AnalystSheetClose</definedName>
    <definedName name="AUTO" localSheetId="5">[3]!AnalystSheetClose</definedName>
    <definedName name="AUTO" localSheetId="6">[3]!AnalystSheetClose</definedName>
    <definedName name="AUTO" localSheetId="7">[3]!AnalystSheetClose</definedName>
    <definedName name="AUTO" localSheetId="8">[3]!AnalystSheetClose</definedName>
    <definedName name="AUTO" localSheetId="9">[3]!AnalystSheetClose</definedName>
    <definedName name="AUTO" localSheetId="10">[3]!AnalystSheetClose</definedName>
    <definedName name="AUTO" localSheetId="11">[3]!AnalystSheetClose</definedName>
    <definedName name="AUTO" localSheetId="12">[3]!AnalystSheetClose</definedName>
    <definedName name="AUTO" localSheetId="13">[3]!AnalystSheetClose</definedName>
    <definedName name="AUTO" localSheetId="14">[3]!AnalystSheetClose</definedName>
    <definedName name="AUTO" localSheetId="15">[3]!AnalystSheetClose</definedName>
    <definedName name="AUTO" localSheetId="16">[3]!AnalystSheetClose</definedName>
    <definedName name="AUTO" localSheetId="17">[3]!AnalystSheetClose</definedName>
    <definedName name="AUTO" localSheetId="18">[3]!AnalystSheetClose</definedName>
    <definedName name="AUTO" localSheetId="19">[3]!AnalystSheetClose</definedName>
    <definedName name="AUTO" localSheetId="20">[3]!AnalystSheetClose</definedName>
    <definedName name="AUTO" localSheetId="21">[3]!AnalystSheetClose</definedName>
    <definedName name="AUTO" localSheetId="22">[3]!AnalystSheetClose</definedName>
    <definedName name="AUTO" localSheetId="23">[3]!AnalystSheetClose</definedName>
    <definedName name="AUTO" localSheetId="24">[3]!AnalystSheetClose</definedName>
    <definedName name="AUTO" localSheetId="25">[3]!AnalystSheetClose</definedName>
    <definedName name="AUTO">[3]!AnalystSheetClose</definedName>
    <definedName name="auto_close" localSheetId="1">[3]!AnalystSheetClose</definedName>
    <definedName name="auto_close" localSheetId="2">[3]!AnalystSheetClose</definedName>
    <definedName name="auto_close" localSheetId="3">[3]!AnalystSheetClose</definedName>
    <definedName name="auto_close" localSheetId="4">[3]!AnalystSheetClose</definedName>
    <definedName name="auto_close" localSheetId="5">[3]!AnalystSheetClose</definedName>
    <definedName name="auto_close" localSheetId="6">[3]!AnalystSheetClose</definedName>
    <definedName name="auto_close" localSheetId="7">[3]!AnalystSheetClose</definedName>
    <definedName name="auto_close" localSheetId="8">[3]!AnalystSheetClose</definedName>
    <definedName name="auto_close" localSheetId="9">[3]!AnalystSheetClose</definedName>
    <definedName name="auto_close" localSheetId="10">[3]!AnalystSheetClose</definedName>
    <definedName name="auto_close" localSheetId="11">[3]!AnalystSheetClose</definedName>
    <definedName name="auto_close" localSheetId="12">[3]!AnalystSheetClose</definedName>
    <definedName name="auto_close" localSheetId="13">[3]!AnalystSheetClose</definedName>
    <definedName name="auto_close" localSheetId="14">[3]!AnalystSheetClose</definedName>
    <definedName name="auto_close" localSheetId="15">[3]!AnalystSheetClose</definedName>
    <definedName name="auto_close" localSheetId="16">[3]!AnalystSheetClose</definedName>
    <definedName name="auto_close" localSheetId="17">[3]!AnalystSheetClose</definedName>
    <definedName name="auto_close" localSheetId="18">[3]!AnalystSheetClose</definedName>
    <definedName name="auto_close" localSheetId="19">[3]!AnalystSheetClose</definedName>
    <definedName name="auto_close" localSheetId="20">[3]!AnalystSheetClose</definedName>
    <definedName name="auto_close" localSheetId="21">[3]!AnalystSheetClose</definedName>
    <definedName name="auto_close" localSheetId="22">[3]!AnalystSheetClose</definedName>
    <definedName name="auto_close" localSheetId="23">[3]!AnalystSheetClose</definedName>
    <definedName name="auto_close" localSheetId="24">[3]!AnalystSheetClose</definedName>
    <definedName name="auto_close" localSheetId="25">[3]!AnalystSheetClose</definedName>
    <definedName name="auto_close">[3]!AnalystSheetClose</definedName>
    <definedName name="_xlnm.Auto_Close" localSheetId="1">[4]!AnalystSheetClose</definedName>
    <definedName name="_xlnm.Auto_Close" localSheetId="2">[4]!AnalystSheetClose</definedName>
    <definedName name="_xlnm.Auto_Close" localSheetId="3">[4]!AnalystSheetClose</definedName>
    <definedName name="_xlnm.Auto_Close" localSheetId="4">[4]!AnalystSheetClose</definedName>
    <definedName name="_xlnm.Auto_Close" localSheetId="5">[4]!AnalystSheetClose</definedName>
    <definedName name="_xlnm.Auto_Close" localSheetId="6">[4]!AnalystSheetClose</definedName>
    <definedName name="_xlnm.Auto_Close" localSheetId="7">[4]!AnalystSheetClose</definedName>
    <definedName name="_xlnm.Auto_Close" localSheetId="8">[4]!AnalystSheetClose</definedName>
    <definedName name="_xlnm.Auto_Close" localSheetId="9">[4]!AnalystSheetClose</definedName>
    <definedName name="_xlnm.Auto_Close" localSheetId="10">[4]!AnalystSheetClose</definedName>
    <definedName name="_xlnm.Auto_Close" localSheetId="11">[4]!AnalystSheetClose</definedName>
    <definedName name="_xlnm.Auto_Close" localSheetId="12">[4]!AnalystSheetClose</definedName>
    <definedName name="_xlnm.Auto_Close" localSheetId="13">[4]!AnalystSheetClose</definedName>
    <definedName name="_xlnm.Auto_Close" localSheetId="14">[4]!AnalystSheetClose</definedName>
    <definedName name="_xlnm.Auto_Close" localSheetId="15">[4]!AnalystSheetClose</definedName>
    <definedName name="_xlnm.Auto_Close" localSheetId="16">[4]!AnalystSheetClose</definedName>
    <definedName name="_xlnm.Auto_Close" localSheetId="17">[4]!AnalystSheetClose</definedName>
    <definedName name="_xlnm.Auto_Close" localSheetId="18">[4]!AnalystSheetClose</definedName>
    <definedName name="_xlnm.Auto_Close" localSheetId="19">[4]!AnalystSheetClose</definedName>
    <definedName name="_xlnm.Auto_Close" localSheetId="20">[4]!AnalystSheetClose</definedName>
    <definedName name="_xlnm.Auto_Close" localSheetId="21">[4]!AnalystSheetClose</definedName>
    <definedName name="_xlnm.Auto_Close" localSheetId="22">[4]!AnalystSheetClose</definedName>
    <definedName name="_xlnm.Auto_Close" localSheetId="23">[4]!AnalystSheetClose</definedName>
    <definedName name="_xlnm.Auto_Close" localSheetId="24">[4]!AnalystSheetClose</definedName>
    <definedName name="_xlnm.Auto_Close" localSheetId="25">[4]!AnalystSheetClose</definedName>
    <definedName name="_xlnm.Auto_Close">[4]!AnalystSheetClose</definedName>
    <definedName name="auto_open" localSheetId="1">[3]!AnalystSheetClose</definedName>
    <definedName name="auto_open" localSheetId="2">[3]!AnalystSheetClose</definedName>
    <definedName name="auto_open" localSheetId="3">[3]!AnalystSheetClose</definedName>
    <definedName name="auto_open" localSheetId="4">[3]!AnalystSheetClose</definedName>
    <definedName name="auto_open" localSheetId="5">[3]!AnalystSheetClose</definedName>
    <definedName name="auto_open" localSheetId="6">[3]!AnalystSheetClose</definedName>
    <definedName name="auto_open" localSheetId="7">[3]!AnalystSheetClose</definedName>
    <definedName name="auto_open" localSheetId="8">[3]!AnalystSheetClose</definedName>
    <definedName name="auto_open" localSheetId="9">[3]!AnalystSheetClose</definedName>
    <definedName name="auto_open" localSheetId="10">[3]!AnalystSheetClose</definedName>
    <definedName name="auto_open" localSheetId="11">[3]!AnalystSheetClose</definedName>
    <definedName name="auto_open" localSheetId="12">[3]!AnalystSheetClose</definedName>
    <definedName name="auto_open" localSheetId="13">[3]!AnalystSheetClose</definedName>
    <definedName name="auto_open" localSheetId="14">[3]!AnalystSheetClose</definedName>
    <definedName name="auto_open" localSheetId="15">[3]!AnalystSheetClose</definedName>
    <definedName name="auto_open" localSheetId="16">[3]!AnalystSheetClose</definedName>
    <definedName name="auto_open" localSheetId="17">[3]!AnalystSheetClose</definedName>
    <definedName name="auto_open" localSheetId="18">[3]!AnalystSheetClose</definedName>
    <definedName name="auto_open" localSheetId="19">[3]!AnalystSheetClose</definedName>
    <definedName name="auto_open" localSheetId="20">[3]!AnalystSheetClose</definedName>
    <definedName name="auto_open" localSheetId="21">[3]!AnalystSheetClose</definedName>
    <definedName name="auto_open" localSheetId="22">[3]!AnalystSheetClose</definedName>
    <definedName name="auto_open" localSheetId="23">[3]!AnalystSheetClose</definedName>
    <definedName name="auto_open" localSheetId="24">[3]!AnalystSheetClose</definedName>
    <definedName name="auto_open" localSheetId="25">[3]!AnalystSheetClose</definedName>
    <definedName name="auto_open">[3]!AnalystSheetClose</definedName>
    <definedName name="_xlnm.Auto_Open" localSheetId="1">[4]!AnalystSheetClose</definedName>
    <definedName name="_xlnm.Auto_Open" localSheetId="2">[4]!AnalystSheetClose</definedName>
    <definedName name="_xlnm.Auto_Open" localSheetId="3">[4]!AnalystSheetClose</definedName>
    <definedName name="_xlnm.Auto_Open" localSheetId="4">[4]!AnalystSheetClose</definedName>
    <definedName name="_xlnm.Auto_Open" localSheetId="5">[4]!AnalystSheetClose</definedName>
    <definedName name="_xlnm.Auto_Open" localSheetId="6">[4]!AnalystSheetClose</definedName>
    <definedName name="_xlnm.Auto_Open" localSheetId="7">[4]!AnalystSheetClose</definedName>
    <definedName name="_xlnm.Auto_Open" localSheetId="8">[4]!AnalystSheetClose</definedName>
    <definedName name="_xlnm.Auto_Open" localSheetId="9">[4]!AnalystSheetClose</definedName>
    <definedName name="_xlnm.Auto_Open" localSheetId="10">[4]!AnalystSheetClose</definedName>
    <definedName name="_xlnm.Auto_Open" localSheetId="11">[4]!AnalystSheetClose</definedName>
    <definedName name="_xlnm.Auto_Open" localSheetId="12">[4]!AnalystSheetClose</definedName>
    <definedName name="_xlnm.Auto_Open" localSheetId="13">[4]!AnalystSheetClose</definedName>
    <definedName name="_xlnm.Auto_Open" localSheetId="14">[4]!AnalystSheetClose</definedName>
    <definedName name="_xlnm.Auto_Open" localSheetId="15">[4]!AnalystSheetClose</definedName>
    <definedName name="_xlnm.Auto_Open" localSheetId="16">[4]!AnalystSheetClose</definedName>
    <definedName name="_xlnm.Auto_Open" localSheetId="17">[4]!AnalystSheetClose</definedName>
    <definedName name="_xlnm.Auto_Open" localSheetId="18">[4]!AnalystSheetClose</definedName>
    <definedName name="_xlnm.Auto_Open" localSheetId="19">[4]!AnalystSheetClose</definedName>
    <definedName name="_xlnm.Auto_Open" localSheetId="20">[4]!AnalystSheetClose</definedName>
    <definedName name="_xlnm.Auto_Open" localSheetId="21">[4]!AnalystSheetClose</definedName>
    <definedName name="_xlnm.Auto_Open" localSheetId="22">[4]!AnalystSheetClose</definedName>
    <definedName name="_xlnm.Auto_Open" localSheetId="23">[4]!AnalystSheetClose</definedName>
    <definedName name="_xlnm.Auto_Open" localSheetId="24">[4]!AnalystSheetClose</definedName>
    <definedName name="_xlnm.Auto_Open" localSheetId="25">[4]!AnalystSheetClose</definedName>
    <definedName name="_xlnm.Auto_Open">[4]!AnalystSheetClose</definedName>
    <definedName name="Budget">'[5]3.Exe_budgétaire'!$A$1:$B$1,'[5]3.Exe_budgétaire'!$A$3:$E$8</definedName>
    <definedName name="dd" localSheetId="1">[3]!AnalystSheetClose</definedName>
    <definedName name="dd" localSheetId="2">[3]!AnalystSheetClose</definedName>
    <definedName name="dd" localSheetId="3">[3]!AnalystSheetClose</definedName>
    <definedName name="dd" localSheetId="4">[3]!AnalystSheetClose</definedName>
    <definedName name="dd" localSheetId="5">[3]!AnalystSheetClose</definedName>
    <definedName name="dd" localSheetId="6">[3]!AnalystSheetClose</definedName>
    <definedName name="dd" localSheetId="7">[3]!AnalystSheetClose</definedName>
    <definedName name="dd" localSheetId="8">[3]!AnalystSheetClose</definedName>
    <definedName name="dd" localSheetId="9">[3]!AnalystSheetClose</definedName>
    <definedName name="dd" localSheetId="10">[3]!AnalystSheetClose</definedName>
    <definedName name="dd" localSheetId="11">[3]!AnalystSheetClose</definedName>
    <definedName name="dd" localSheetId="12">[3]!AnalystSheetClose</definedName>
    <definedName name="dd" localSheetId="13">[3]!AnalystSheetClose</definedName>
    <definedName name="dd" localSheetId="14">[3]!AnalystSheetClose</definedName>
    <definedName name="dd" localSheetId="15">[3]!AnalystSheetClose</definedName>
    <definedName name="dd" localSheetId="16">[3]!AnalystSheetClose</definedName>
    <definedName name="dd" localSheetId="17">[3]!AnalystSheetClose</definedName>
    <definedName name="dd" localSheetId="18">[3]!AnalystSheetClose</definedName>
    <definedName name="dd" localSheetId="19">[3]!AnalystSheetClose</definedName>
    <definedName name="dd" localSheetId="20">[3]!AnalystSheetClose</definedName>
    <definedName name="dd" localSheetId="21">[3]!AnalystSheetClose</definedName>
    <definedName name="dd" localSheetId="22">[3]!AnalystSheetClose</definedName>
    <definedName name="dd" localSheetId="23">[3]!AnalystSheetClose</definedName>
    <definedName name="dd" localSheetId="24">[3]!AnalystSheetClose</definedName>
    <definedName name="dd" localSheetId="25">[3]!AnalystSheetClose</definedName>
    <definedName name="dd">[3]!AnalystSheetClose</definedName>
    <definedName name="dsfd" localSheetId="1">[3]!AnalystSheetClose</definedName>
    <definedName name="dsfd" localSheetId="2">[3]!AnalystSheetClose</definedName>
    <definedName name="dsfd" localSheetId="3">[3]!AnalystSheetClose</definedName>
    <definedName name="dsfd" localSheetId="4">[3]!AnalystSheetClose</definedName>
    <definedName name="dsfd" localSheetId="5">[3]!AnalystSheetClose</definedName>
    <definedName name="dsfd" localSheetId="6">[3]!AnalystSheetClose</definedName>
    <definedName name="dsfd" localSheetId="7">[3]!AnalystSheetClose</definedName>
    <definedName name="dsfd" localSheetId="8">[3]!AnalystSheetClose</definedName>
    <definedName name="dsfd" localSheetId="9">[3]!AnalystSheetClose</definedName>
    <definedName name="dsfd" localSheetId="10">[3]!AnalystSheetClose</definedName>
    <definedName name="dsfd" localSheetId="11">[3]!AnalystSheetClose</definedName>
    <definedName name="dsfd" localSheetId="12">[3]!AnalystSheetClose</definedName>
    <definedName name="dsfd" localSheetId="13">[3]!AnalystSheetClose</definedName>
    <definedName name="dsfd" localSheetId="14">[3]!AnalystSheetClose</definedName>
    <definedName name="dsfd" localSheetId="15">[3]!AnalystSheetClose</definedName>
    <definedName name="dsfd" localSheetId="16">[3]!AnalystSheetClose</definedName>
    <definedName name="dsfd" localSheetId="17">[3]!AnalystSheetClose</definedName>
    <definedName name="dsfd" localSheetId="18">[3]!AnalystSheetClose</definedName>
    <definedName name="dsfd" localSheetId="19">[3]!AnalystSheetClose</definedName>
    <definedName name="dsfd" localSheetId="20">[3]!AnalystSheetClose</definedName>
    <definedName name="dsfd" localSheetId="21">[3]!AnalystSheetClose</definedName>
    <definedName name="dsfd" localSheetId="22">[3]!AnalystSheetClose</definedName>
    <definedName name="dsfd" localSheetId="23">[3]!AnalystSheetClose</definedName>
    <definedName name="dsfd" localSheetId="24">[3]!AnalystSheetClose</definedName>
    <definedName name="dsfd" localSheetId="25">[3]!AnalystSheetClose</definedName>
    <definedName name="dsfd">[3]!AnalystSheetClose</definedName>
    <definedName name="ETPT">#REF!</definedName>
    <definedName name="fdd" localSheetId="1">[3]!AnalystSheetClose</definedName>
    <definedName name="fdd" localSheetId="2">[3]!AnalystSheetClose</definedName>
    <definedName name="fdd" localSheetId="3">[3]!AnalystSheetClose</definedName>
    <definedName name="fdd" localSheetId="4">[3]!AnalystSheetClose</definedName>
    <definedName name="fdd" localSheetId="5">[3]!AnalystSheetClose</definedName>
    <definedName name="fdd" localSheetId="6">[3]!AnalystSheetClose</definedName>
    <definedName name="fdd" localSheetId="7">[3]!AnalystSheetClose</definedName>
    <definedName name="fdd" localSheetId="8">[3]!AnalystSheetClose</definedName>
    <definedName name="fdd" localSheetId="9">[3]!AnalystSheetClose</definedName>
    <definedName name="fdd" localSheetId="10">[3]!AnalystSheetClose</definedName>
    <definedName name="fdd" localSheetId="11">[3]!AnalystSheetClose</definedName>
    <definedName name="fdd" localSheetId="12">[3]!AnalystSheetClose</definedName>
    <definedName name="fdd" localSheetId="13">[3]!AnalystSheetClose</definedName>
    <definedName name="fdd" localSheetId="14">[3]!AnalystSheetClose</definedName>
    <definedName name="fdd" localSheetId="15">[3]!AnalystSheetClose</definedName>
    <definedName name="fdd" localSheetId="16">[3]!AnalystSheetClose</definedName>
    <definedName name="fdd" localSheetId="17">[3]!AnalystSheetClose</definedName>
    <definedName name="fdd" localSheetId="18">[3]!AnalystSheetClose</definedName>
    <definedName name="fdd" localSheetId="19">[3]!AnalystSheetClose</definedName>
    <definedName name="fdd" localSheetId="20">[3]!AnalystSheetClose</definedName>
    <definedName name="fdd" localSheetId="21">[3]!AnalystSheetClose</definedName>
    <definedName name="fdd" localSheetId="22">[3]!AnalystSheetClose</definedName>
    <definedName name="fdd" localSheetId="23">[3]!AnalystSheetClose</definedName>
    <definedName name="fdd" localSheetId="24">[3]!AnalystSheetClose</definedName>
    <definedName name="fdd" localSheetId="25">[3]!AnalystSheetClose</definedName>
    <definedName name="fdd">[3]!AnalystSheetClose</definedName>
    <definedName name="h" localSheetId="1">[3]!AnalystSheetOpen</definedName>
    <definedName name="h" localSheetId="2">[3]!AnalystSheetOpen</definedName>
    <definedName name="h" localSheetId="3">[3]!AnalystSheetOpen</definedName>
    <definedName name="h" localSheetId="4">[3]!AnalystSheetOpen</definedName>
    <definedName name="h" localSheetId="5">[3]!AnalystSheetOpen</definedName>
    <definedName name="h" localSheetId="6">[3]!AnalystSheetOpen</definedName>
    <definedName name="h" localSheetId="7">[3]!AnalystSheetOpen</definedName>
    <definedName name="h" localSheetId="8">[3]!AnalystSheetOpen</definedName>
    <definedName name="h" localSheetId="9">[3]!AnalystSheetOpen</definedName>
    <definedName name="h" localSheetId="10">[3]!AnalystSheetOpen</definedName>
    <definedName name="h" localSheetId="11">[3]!AnalystSheetOpen</definedName>
    <definedName name="h" localSheetId="12">[3]!AnalystSheetOpen</definedName>
    <definedName name="h" localSheetId="13">[3]!AnalystSheetOpen</definedName>
    <definedName name="h" localSheetId="14">[3]!AnalystSheetOpen</definedName>
    <definedName name="h" localSheetId="15">[3]!AnalystSheetOpen</definedName>
    <definedName name="h" localSheetId="16">[3]!AnalystSheetOpen</definedName>
    <definedName name="h" localSheetId="17">[3]!AnalystSheetOpen</definedName>
    <definedName name="h" localSheetId="18">[3]!AnalystSheetOpen</definedName>
    <definedName name="h" localSheetId="19">[3]!AnalystSheetOpen</definedName>
    <definedName name="h" localSheetId="20">[3]!AnalystSheetOpen</definedName>
    <definedName name="h" localSheetId="21">[3]!AnalystSheetOpen</definedName>
    <definedName name="h" localSheetId="22">[3]!AnalystSheetOpen</definedName>
    <definedName name="h" localSheetId="23">[3]!AnalystSheetOpen</definedName>
    <definedName name="h" localSheetId="24">[3]!AnalystSheetOpen</definedName>
    <definedName name="h" localSheetId="25">[3]!AnalystSheetOpen</definedName>
    <definedName name="h">[3]!AnalystSheetOpen</definedName>
    <definedName name="Liste_CA">[5]!Liste_site10[#All]</definedName>
    <definedName name="prescripteur">[6]BAT!$A$82:$A$95</definedName>
    <definedName name="RE" hidden="1">[7]Entonnoir!#REF!</definedName>
    <definedName name="Région">#REF!</definedName>
    <definedName name="sdsd" localSheetId="1">[3]!AnalystSheetClose</definedName>
    <definedName name="sdsd" localSheetId="2">[3]!AnalystSheetClose</definedName>
    <definedName name="sdsd" localSheetId="3">[3]!AnalystSheetClose</definedName>
    <definedName name="sdsd" localSheetId="4">[3]!AnalystSheetClose</definedName>
    <definedName name="sdsd" localSheetId="5">[3]!AnalystSheetClose</definedName>
    <definedName name="sdsd" localSheetId="6">[3]!AnalystSheetClose</definedName>
    <definedName name="sdsd" localSheetId="7">[3]!AnalystSheetClose</definedName>
    <definedName name="sdsd" localSheetId="8">[3]!AnalystSheetClose</definedName>
    <definedName name="sdsd" localSheetId="9">[3]!AnalystSheetClose</definedName>
    <definedName name="sdsd" localSheetId="10">[3]!AnalystSheetClose</definedName>
    <definedName name="sdsd" localSheetId="11">[3]!AnalystSheetClose</definedName>
    <definedName name="sdsd" localSheetId="12">[3]!AnalystSheetClose</definedName>
    <definedName name="sdsd" localSheetId="13">[3]!AnalystSheetClose</definedName>
    <definedName name="sdsd" localSheetId="14">[3]!AnalystSheetClose</definedName>
    <definedName name="sdsd" localSheetId="15">[3]!AnalystSheetClose</definedName>
    <definedName name="sdsd" localSheetId="16">[3]!AnalystSheetClose</definedName>
    <definedName name="sdsd" localSheetId="17">[3]!AnalystSheetClose</definedName>
    <definedName name="sdsd" localSheetId="18">[3]!AnalystSheetClose</definedName>
    <definedName name="sdsd" localSheetId="19">[3]!AnalystSheetClose</definedName>
    <definedName name="sdsd" localSheetId="20">[3]!AnalystSheetClose</definedName>
    <definedName name="sdsd" localSheetId="21">[3]!AnalystSheetClose</definedName>
    <definedName name="sdsd" localSheetId="22">[3]!AnalystSheetClose</definedName>
    <definedName name="sdsd" localSheetId="23">[3]!AnalystSheetClose</definedName>
    <definedName name="sdsd" localSheetId="24">[3]!AnalystSheetClose</definedName>
    <definedName name="sdsd" localSheetId="25">[3]!AnalystSheetClose</definedName>
    <definedName name="sdsd">[3]!AnalystSheetClose</definedName>
    <definedName name="tab.3" localSheetId="1">[8]!AnalystDropDown</definedName>
    <definedName name="tab.3" localSheetId="2">[8]!AnalystDropDown</definedName>
    <definedName name="tab.3" localSheetId="3">[8]!AnalystDropDown</definedName>
    <definedName name="tab.3" localSheetId="4">[8]!AnalystDropDown</definedName>
    <definedName name="tab.3" localSheetId="5">[8]!AnalystDropDown</definedName>
    <definedName name="tab.3" localSheetId="6">[8]!AnalystDropDown</definedName>
    <definedName name="tab.3" localSheetId="7">[8]!AnalystDropDown</definedName>
    <definedName name="tab.3" localSheetId="8">[8]!AnalystDropDown</definedName>
    <definedName name="tab.3" localSheetId="9">[8]!AnalystDropDown</definedName>
    <definedName name="tab.3" localSheetId="10">[8]!AnalystDropDown</definedName>
    <definedName name="tab.3" localSheetId="11">[8]!AnalystDropDown</definedName>
    <definedName name="tab.3" localSheetId="12">[8]!AnalystDropDown</definedName>
    <definedName name="tab.3" localSheetId="13">[8]!AnalystDropDown</definedName>
    <definedName name="tab.3" localSheetId="14">[8]!AnalystDropDown</definedName>
    <definedName name="tab.3" localSheetId="15">[8]!AnalystDropDown</definedName>
    <definedName name="tab.3" localSheetId="16">[8]!AnalystDropDown</definedName>
    <definedName name="tab.3" localSheetId="17">[8]!AnalystDropDown</definedName>
    <definedName name="tab.3" localSheetId="18">[8]!AnalystDropDown</definedName>
    <definedName name="tab.3" localSheetId="19">[8]!AnalystDropDown</definedName>
    <definedName name="tab.3" localSheetId="20">[8]!AnalystDropDown</definedName>
    <definedName name="tab.3" localSheetId="21">[8]!AnalystDropDown</definedName>
    <definedName name="tab.3" localSheetId="22">[8]!AnalystDropDown</definedName>
    <definedName name="tab.3" localSheetId="23">[8]!AnalystDropDown</definedName>
    <definedName name="tab.3" localSheetId="24">[8]!AnalystDropDown</definedName>
    <definedName name="tab.3" localSheetId="25">[8]!AnalystDropDown</definedName>
    <definedName name="tab.3">[8]!AnalystDropDown</definedName>
    <definedName name="tab_8_rapport_gestion" localSheetId="1">[8]!AnalystSheetClose</definedName>
    <definedName name="tab_8_rapport_gestion" localSheetId="2">[8]!AnalystSheetClose</definedName>
    <definedName name="tab_8_rapport_gestion" localSheetId="3">[8]!AnalystSheetClose</definedName>
    <definedName name="tab_8_rapport_gestion" localSheetId="4">[8]!AnalystSheetClose</definedName>
    <definedName name="tab_8_rapport_gestion" localSheetId="5">[8]!AnalystSheetClose</definedName>
    <definedName name="tab_8_rapport_gestion" localSheetId="6">[8]!AnalystSheetClose</definedName>
    <definedName name="tab_8_rapport_gestion" localSheetId="7">[8]!AnalystSheetClose</definedName>
    <definedName name="tab_8_rapport_gestion" localSheetId="8">[8]!AnalystSheetClose</definedName>
    <definedName name="tab_8_rapport_gestion" localSheetId="9">[8]!AnalystSheetClose</definedName>
    <definedName name="tab_8_rapport_gestion" localSheetId="10">[8]!AnalystSheetClose</definedName>
    <definedName name="tab_8_rapport_gestion" localSheetId="11">[8]!AnalystSheetClose</definedName>
    <definedName name="tab_8_rapport_gestion" localSheetId="12">[8]!AnalystSheetClose</definedName>
    <definedName name="tab_8_rapport_gestion" localSheetId="13">[8]!AnalystSheetClose</definedName>
    <definedName name="tab_8_rapport_gestion" localSheetId="14">[8]!AnalystSheetClose</definedName>
    <definedName name="tab_8_rapport_gestion" localSheetId="15">[8]!AnalystSheetClose</definedName>
    <definedName name="tab_8_rapport_gestion" localSheetId="16">[8]!AnalystSheetClose</definedName>
    <definedName name="tab_8_rapport_gestion" localSheetId="17">[8]!AnalystSheetClose</definedName>
    <definedName name="tab_8_rapport_gestion" localSheetId="18">[8]!AnalystSheetClose</definedName>
    <definedName name="tab_8_rapport_gestion" localSheetId="19">[8]!AnalystSheetClose</definedName>
    <definedName name="tab_8_rapport_gestion" localSheetId="20">[8]!AnalystSheetClose</definedName>
    <definedName name="tab_8_rapport_gestion" localSheetId="21">[8]!AnalystSheetClose</definedName>
    <definedName name="tab_8_rapport_gestion" localSheetId="22">[8]!AnalystSheetClose</definedName>
    <definedName name="tab_8_rapport_gestion" localSheetId="23">[8]!AnalystSheetClose</definedName>
    <definedName name="tab_8_rapport_gestion" localSheetId="24">[8]!AnalystSheetClose</definedName>
    <definedName name="tab_8_rapport_gestion" localSheetId="25">[8]!AnalystSheetClose</definedName>
    <definedName name="tab_8_rapport_gestion">[8]!AnalystSheetClose</definedName>
    <definedName name="table01">[9]Données!$A$1:$F$2000</definedName>
    <definedName name="tauxLA">'[10]Prix revient &amp; plan fi'!#REF!</definedName>
    <definedName name="TB9écart" localSheetId="1">[3]!AnalystSheetOpen</definedName>
    <definedName name="TB9écart" localSheetId="2">[3]!AnalystSheetOpen</definedName>
    <definedName name="TB9écart" localSheetId="3">[3]!AnalystSheetOpen</definedName>
    <definedName name="TB9écart" localSheetId="4">[3]!AnalystSheetOpen</definedName>
    <definedName name="TB9écart" localSheetId="5">[3]!AnalystSheetOpen</definedName>
    <definedName name="TB9écart" localSheetId="6">[3]!AnalystSheetOpen</definedName>
    <definedName name="TB9écart" localSheetId="7">[3]!AnalystSheetOpen</definedName>
    <definedName name="TB9écart" localSheetId="8">[3]!AnalystSheetOpen</definedName>
    <definedName name="TB9écart" localSheetId="9">[3]!AnalystSheetOpen</definedName>
    <definedName name="TB9écart" localSheetId="10">[3]!AnalystSheetOpen</definedName>
    <definedName name="TB9écart" localSheetId="11">[3]!AnalystSheetOpen</definedName>
    <definedName name="TB9écart" localSheetId="12">[3]!AnalystSheetOpen</definedName>
    <definedName name="TB9écart" localSheetId="13">[3]!AnalystSheetOpen</definedName>
    <definedName name="TB9écart" localSheetId="14">[3]!AnalystSheetOpen</definedName>
    <definedName name="TB9écart" localSheetId="15">[3]!AnalystSheetOpen</definedName>
    <definedName name="TB9écart" localSheetId="16">[3]!AnalystSheetOpen</definedName>
    <definedName name="TB9écart" localSheetId="17">[3]!AnalystSheetOpen</definedName>
    <definedName name="TB9écart" localSheetId="18">[3]!AnalystSheetOpen</definedName>
    <definedName name="TB9écart" localSheetId="19">[3]!AnalystSheetOpen</definedName>
    <definedName name="TB9écart" localSheetId="20">[3]!AnalystSheetOpen</definedName>
    <definedName name="TB9écart" localSheetId="21">[3]!AnalystSheetOpen</definedName>
    <definedName name="TB9écart" localSheetId="22">[3]!AnalystSheetOpen</definedName>
    <definedName name="TB9écart" localSheetId="23">[3]!AnalystSheetOpen</definedName>
    <definedName name="TB9écart" localSheetId="24">[3]!AnalystSheetOpen</definedName>
    <definedName name="TB9écart" localSheetId="25">[3]!AnalystSheetOpen</definedName>
    <definedName name="TB9écart">[3]!AnalystSheetOpen</definedName>
    <definedName name="TEST">#REF!,#REF!,#REF!</definedName>
    <definedName name="zzz" localSheetId="1">[8]!AnalystDropDown</definedName>
    <definedName name="zzz" localSheetId="2">[8]!AnalystDropDown</definedName>
    <definedName name="zzz" localSheetId="3">[8]!AnalystDropDown</definedName>
    <definedName name="zzz" localSheetId="4">[8]!AnalystDropDown</definedName>
    <definedName name="zzz" localSheetId="5">[8]!AnalystDropDown</definedName>
    <definedName name="zzz" localSheetId="6">[8]!AnalystDropDown</definedName>
    <definedName name="zzz" localSheetId="7">[8]!AnalystDropDown</definedName>
    <definedName name="zzz" localSheetId="8">[8]!AnalystDropDown</definedName>
    <definedName name="zzz" localSheetId="9">[8]!AnalystDropDown</definedName>
    <definedName name="zzz" localSheetId="10">[8]!AnalystDropDown</definedName>
    <definedName name="zzz" localSheetId="11">[8]!AnalystDropDown</definedName>
    <definedName name="zzz" localSheetId="12">[8]!AnalystDropDown</definedName>
    <definedName name="zzz" localSheetId="13">[8]!AnalystDropDown</definedName>
    <definedName name="zzz" localSheetId="14">[8]!AnalystDropDown</definedName>
    <definedName name="zzz" localSheetId="15">[8]!AnalystDropDown</definedName>
    <definedName name="zzz" localSheetId="16">[8]!AnalystDropDown</definedName>
    <definedName name="zzz" localSheetId="17">[8]!AnalystDropDown</definedName>
    <definedName name="zzz" localSheetId="18">[8]!AnalystDropDown</definedName>
    <definedName name="zzz" localSheetId="19">[8]!AnalystDropDown</definedName>
    <definedName name="zzz" localSheetId="20">[8]!AnalystDropDown</definedName>
    <definedName name="zzz" localSheetId="21">[8]!AnalystDropDown</definedName>
    <definedName name="zzz" localSheetId="22">[8]!AnalystDropDown</definedName>
    <definedName name="zzz" localSheetId="23">[8]!AnalystDropDown</definedName>
    <definedName name="zzz" localSheetId="24">[8]!AnalystDropDown</definedName>
    <definedName name="zzz" localSheetId="25">[8]!AnalystDropDown</definedName>
    <definedName name="zzz">[8]!AnalystDropDown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7" i="1" l="1"/>
  <c r="F67" i="2"/>
  <c r="F67" i="3"/>
  <c r="F67" i="4"/>
  <c r="F67" i="6"/>
  <c r="F67" i="7"/>
  <c r="F67" i="8"/>
  <c r="F67" i="9"/>
  <c r="F67" i="10"/>
  <c r="F67" i="11"/>
  <c r="F67" i="12"/>
  <c r="F67" i="14"/>
  <c r="F67" i="15"/>
  <c r="F67" i="16"/>
  <c r="F67" i="17"/>
  <c r="F67" i="18"/>
  <c r="F67" i="19"/>
  <c r="F67" i="20"/>
  <c r="F67" i="21"/>
  <c r="F67" i="22"/>
  <c r="F67" i="23"/>
  <c r="F67" i="24"/>
  <c r="F67" i="25"/>
  <c r="F67" i="26"/>
  <c r="F67" i="27"/>
  <c r="F67" i="28"/>
  <c r="D66" i="4"/>
  <c r="C67" i="11" l="1"/>
  <c r="B67" i="10"/>
  <c r="E65" i="4"/>
  <c r="F65" i="15"/>
  <c r="E66" i="16"/>
  <c r="F65" i="25"/>
  <c r="E65" i="25"/>
  <c r="F65" i="27"/>
  <c r="B65" i="1"/>
  <c r="B65" i="2"/>
  <c r="B65" i="3"/>
  <c r="B67" i="3" s="1"/>
  <c r="B65" i="4"/>
  <c r="B65" i="6"/>
  <c r="B65" i="7"/>
  <c r="B67" i="7" s="1"/>
  <c r="B65" i="8"/>
  <c r="B67" i="8" s="1"/>
  <c r="B65" i="9"/>
  <c r="B65" i="10"/>
  <c r="B65" i="11"/>
  <c r="E65" i="11" s="1"/>
  <c r="B65" i="12"/>
  <c r="E65" i="12" s="1"/>
  <c r="B65" i="14"/>
  <c r="B65" i="15"/>
  <c r="B67" i="15" s="1"/>
  <c r="B65" i="16"/>
  <c r="B65" i="17"/>
  <c r="B65" i="18"/>
  <c r="B65" i="19"/>
  <c r="E65" i="19" s="1"/>
  <c r="B65" i="20"/>
  <c r="E65" i="20" s="1"/>
  <c r="B65" i="21"/>
  <c r="B67" i="21" s="1"/>
  <c r="B65" i="22"/>
  <c r="B65" i="23"/>
  <c r="B65" i="24"/>
  <c r="B65" i="25"/>
  <c r="B67" i="25" s="1"/>
  <c r="B65" i="26"/>
  <c r="B65" i="27"/>
  <c r="B65" i="28"/>
  <c r="C65" i="1"/>
  <c r="F65" i="1" s="1"/>
  <c r="D65" i="1"/>
  <c r="B66" i="1"/>
  <c r="C66" i="1"/>
  <c r="C67" i="1" s="1"/>
  <c r="D66" i="1"/>
  <c r="C65" i="2"/>
  <c r="D65" i="2"/>
  <c r="F65" i="2" s="1"/>
  <c r="B66" i="2"/>
  <c r="E66" i="2" s="1"/>
  <c r="C66" i="2"/>
  <c r="D66" i="2"/>
  <c r="C65" i="3"/>
  <c r="F65" i="3" s="1"/>
  <c r="D65" i="3"/>
  <c r="D67" i="3" s="1"/>
  <c r="B66" i="3"/>
  <c r="C66" i="3"/>
  <c r="D66" i="3"/>
  <c r="C65" i="4"/>
  <c r="C67" i="4" s="1"/>
  <c r="D65" i="4"/>
  <c r="D67" i="4" s="1"/>
  <c r="B66" i="4"/>
  <c r="B67" i="4" s="1"/>
  <c r="C66" i="4"/>
  <c r="F66" i="4" s="1"/>
  <c r="C65" i="6"/>
  <c r="C67" i="6" s="1"/>
  <c r="D65" i="6"/>
  <c r="D67" i="6" s="1"/>
  <c r="B66" i="6"/>
  <c r="C66" i="6"/>
  <c r="F66" i="6" s="1"/>
  <c r="D66" i="6"/>
  <c r="C65" i="7"/>
  <c r="F65" i="7" s="1"/>
  <c r="D65" i="7"/>
  <c r="B66" i="7"/>
  <c r="E66" i="7" s="1"/>
  <c r="C66" i="7"/>
  <c r="F66" i="7" s="1"/>
  <c r="D66" i="7"/>
  <c r="C65" i="8"/>
  <c r="D65" i="8"/>
  <c r="D67" i="8" s="1"/>
  <c r="B66" i="8"/>
  <c r="E66" i="8" s="1"/>
  <c r="C66" i="8"/>
  <c r="F66" i="8" s="1"/>
  <c r="D66" i="8"/>
  <c r="C65" i="9"/>
  <c r="F65" i="9" s="1"/>
  <c r="D65" i="9"/>
  <c r="D67" i="9" s="1"/>
  <c r="B66" i="9"/>
  <c r="E66" i="9" s="1"/>
  <c r="C66" i="9"/>
  <c r="D66" i="9"/>
  <c r="F66" i="9" s="1"/>
  <c r="C65" i="10"/>
  <c r="F65" i="10" s="1"/>
  <c r="D65" i="10"/>
  <c r="B66" i="10"/>
  <c r="C66" i="10"/>
  <c r="D66" i="10"/>
  <c r="D67" i="10" s="1"/>
  <c r="C65" i="11"/>
  <c r="D65" i="11"/>
  <c r="B66" i="11"/>
  <c r="E66" i="11" s="1"/>
  <c r="C66" i="11"/>
  <c r="F66" i="11" s="1"/>
  <c r="D66" i="11"/>
  <c r="C65" i="12"/>
  <c r="F65" i="12" s="1"/>
  <c r="D65" i="12"/>
  <c r="D67" i="12" s="1"/>
  <c r="B66" i="12"/>
  <c r="D66" i="12"/>
  <c r="C65" i="14"/>
  <c r="D65" i="14"/>
  <c r="D67" i="14" s="1"/>
  <c r="B66" i="14"/>
  <c r="E66" i="14" s="1"/>
  <c r="C66" i="14"/>
  <c r="F66" i="14" s="1"/>
  <c r="D66" i="14"/>
  <c r="C65" i="15"/>
  <c r="D65" i="15"/>
  <c r="B66" i="15"/>
  <c r="E66" i="15" s="1"/>
  <c r="C66" i="15"/>
  <c r="C67" i="15" s="1"/>
  <c r="D66" i="15"/>
  <c r="F66" i="15" s="1"/>
  <c r="C65" i="16"/>
  <c r="C67" i="16" s="1"/>
  <c r="D65" i="16"/>
  <c r="B66" i="16"/>
  <c r="C66" i="16"/>
  <c r="D66" i="16"/>
  <c r="F66" i="16" s="1"/>
  <c r="C65" i="17"/>
  <c r="E65" i="17" s="1"/>
  <c r="D65" i="17"/>
  <c r="D67" i="17" s="1"/>
  <c r="B66" i="17"/>
  <c r="E66" i="17" s="1"/>
  <c r="C66" i="17"/>
  <c r="F66" i="17" s="1"/>
  <c r="D66" i="17"/>
  <c r="C65" i="18"/>
  <c r="C67" i="18" s="1"/>
  <c r="D65" i="18"/>
  <c r="F65" i="18" s="1"/>
  <c r="B66" i="18"/>
  <c r="B67" i="18" s="1"/>
  <c r="C66" i="18"/>
  <c r="D66" i="18"/>
  <c r="C65" i="19"/>
  <c r="C67" i="19" s="1"/>
  <c r="D65" i="19"/>
  <c r="D67" i="19" s="1"/>
  <c r="B66" i="19"/>
  <c r="E66" i="19" s="1"/>
  <c r="C66" i="19"/>
  <c r="F66" i="19" s="1"/>
  <c r="D66" i="19"/>
  <c r="C65" i="20"/>
  <c r="D65" i="20"/>
  <c r="B66" i="20"/>
  <c r="C66" i="20"/>
  <c r="F66" i="20" s="1"/>
  <c r="D66" i="20"/>
  <c r="D67" i="20" s="1"/>
  <c r="C65" i="21"/>
  <c r="D65" i="21"/>
  <c r="D67" i="21" s="1"/>
  <c r="B66" i="21"/>
  <c r="C66" i="21"/>
  <c r="F66" i="21" s="1"/>
  <c r="D66" i="21"/>
  <c r="C65" i="22"/>
  <c r="C67" i="22" s="1"/>
  <c r="D65" i="22"/>
  <c r="B66" i="22"/>
  <c r="E66" i="22" s="1"/>
  <c r="C66" i="22"/>
  <c r="F66" i="22" s="1"/>
  <c r="D66" i="22"/>
  <c r="D67" i="22" s="1"/>
  <c r="C65" i="23"/>
  <c r="F65" i="23" s="1"/>
  <c r="D65" i="23"/>
  <c r="D67" i="23" s="1"/>
  <c r="B66" i="23"/>
  <c r="E66" i="23" s="1"/>
  <c r="C66" i="23"/>
  <c r="D66" i="23"/>
  <c r="C65" i="24"/>
  <c r="F65" i="24" s="1"/>
  <c r="D65" i="24"/>
  <c r="D67" i="24" s="1"/>
  <c r="B66" i="24"/>
  <c r="B67" i="24" s="1"/>
  <c r="C66" i="24"/>
  <c r="F66" i="24" s="1"/>
  <c r="D66" i="24"/>
  <c r="C65" i="25"/>
  <c r="D65" i="25"/>
  <c r="B66" i="25"/>
  <c r="E66" i="25" s="1"/>
  <c r="C66" i="25"/>
  <c r="F66" i="25" s="1"/>
  <c r="D66" i="25"/>
  <c r="C65" i="26"/>
  <c r="D65" i="26"/>
  <c r="B66" i="26"/>
  <c r="E66" i="26" s="1"/>
  <c r="C66" i="26"/>
  <c r="D66" i="26"/>
  <c r="C65" i="27"/>
  <c r="C67" i="27" s="1"/>
  <c r="D65" i="27"/>
  <c r="B66" i="27"/>
  <c r="E66" i="27" s="1"/>
  <c r="C66" i="27"/>
  <c r="F66" i="27" s="1"/>
  <c r="D66" i="27"/>
  <c r="D67" i="27" s="1"/>
  <c r="C65" i="28"/>
  <c r="C67" i="28" s="1"/>
  <c r="D65" i="28"/>
  <c r="B66" i="28"/>
  <c r="C66" i="28"/>
  <c r="E66" i="28" s="1"/>
  <c r="D66" i="28"/>
  <c r="F66" i="28" s="1"/>
  <c r="A66" i="1"/>
  <c r="A66" i="2"/>
  <c r="A66" i="3"/>
  <c r="A66" i="4"/>
  <c r="A66" i="6"/>
  <c r="A66" i="7"/>
  <c r="A66" i="8"/>
  <c r="A66" i="9"/>
  <c r="A66" i="10"/>
  <c r="A66" i="11"/>
  <c r="A66" i="12"/>
  <c r="A66" i="14"/>
  <c r="A66" i="15"/>
  <c r="A66" i="16"/>
  <c r="A66" i="17"/>
  <c r="A66" i="18"/>
  <c r="A66" i="19"/>
  <c r="A66" i="20"/>
  <c r="A66" i="21"/>
  <c r="A66" i="22"/>
  <c r="A66" i="23"/>
  <c r="A66" i="24"/>
  <c r="A66" i="25"/>
  <c r="A66" i="26"/>
  <c r="A66" i="27"/>
  <c r="A66" i="28"/>
  <c r="A65" i="1"/>
  <c r="A65" i="2"/>
  <c r="A65" i="3"/>
  <c r="A65" i="4"/>
  <c r="A65" i="6"/>
  <c r="A65" i="7"/>
  <c r="A65" i="8"/>
  <c r="A65" i="9"/>
  <c r="A65" i="10"/>
  <c r="A65" i="11"/>
  <c r="A65" i="12"/>
  <c r="A65" i="14"/>
  <c r="A65" i="15"/>
  <c r="A65" i="16"/>
  <c r="A65" i="17"/>
  <c r="A65" i="18"/>
  <c r="A65" i="19"/>
  <c r="A65" i="20"/>
  <c r="A65" i="21"/>
  <c r="A65" i="22"/>
  <c r="A65" i="23"/>
  <c r="A65" i="24"/>
  <c r="A65" i="25"/>
  <c r="A65" i="26"/>
  <c r="A65" i="27"/>
  <c r="A65" i="28"/>
  <c r="F6" i="1"/>
  <c r="F7" i="1"/>
  <c r="F8" i="1"/>
  <c r="F9" i="1"/>
  <c r="F10" i="1"/>
  <c r="F12" i="1"/>
  <c r="F13" i="1"/>
  <c r="F14" i="1"/>
  <c r="F16" i="1"/>
  <c r="F17" i="1"/>
  <c r="F18" i="1"/>
  <c r="F19" i="1"/>
  <c r="F21" i="1"/>
  <c r="F23" i="1"/>
  <c r="F24" i="1"/>
  <c r="F25" i="1"/>
  <c r="F26" i="1"/>
  <c r="F28" i="1"/>
  <c r="F30" i="1"/>
  <c r="F31" i="1"/>
  <c r="F32" i="1"/>
  <c r="F33" i="1"/>
  <c r="F34" i="1"/>
  <c r="F35" i="1"/>
  <c r="F36" i="1"/>
  <c r="F38" i="1"/>
  <c r="F42" i="1"/>
  <c r="F43" i="1"/>
  <c r="F44" i="1"/>
  <c r="F45" i="1"/>
  <c r="F46" i="1"/>
  <c r="F47" i="1"/>
  <c r="F48" i="1"/>
  <c r="F50" i="1"/>
  <c r="F6" i="2"/>
  <c r="F7" i="2"/>
  <c r="F8" i="2"/>
  <c r="F9" i="2"/>
  <c r="F12" i="2"/>
  <c r="F13" i="2"/>
  <c r="F14" i="2"/>
  <c r="F16" i="2"/>
  <c r="F17" i="2"/>
  <c r="F18" i="2"/>
  <c r="F19" i="2"/>
  <c r="F21" i="2"/>
  <c r="F23" i="2"/>
  <c r="F24" i="2"/>
  <c r="F25" i="2"/>
  <c r="F26" i="2"/>
  <c r="F28" i="2"/>
  <c r="F29" i="2"/>
  <c r="F31" i="2"/>
  <c r="F32" i="2"/>
  <c r="F33" i="2"/>
  <c r="F34" i="2"/>
  <c r="F35" i="2"/>
  <c r="F36" i="2"/>
  <c r="F37" i="2"/>
  <c r="F38" i="2"/>
  <c r="F39" i="2"/>
  <c r="F40" i="2"/>
  <c r="F42" i="2"/>
  <c r="F43" i="2"/>
  <c r="F44" i="2"/>
  <c r="F45" i="2"/>
  <c r="F46" i="2"/>
  <c r="F47" i="2"/>
  <c r="F48" i="2"/>
  <c r="F50" i="2"/>
  <c r="F6" i="3"/>
  <c r="F7" i="3"/>
  <c r="F8" i="3"/>
  <c r="F9" i="3"/>
  <c r="F10" i="3"/>
  <c r="F12" i="3"/>
  <c r="F13" i="3"/>
  <c r="F14" i="3"/>
  <c r="F16" i="3"/>
  <c r="F17" i="3"/>
  <c r="F18" i="3"/>
  <c r="F19" i="3"/>
  <c r="F20" i="3"/>
  <c r="F21" i="3"/>
  <c r="F23" i="3"/>
  <c r="F24" i="3"/>
  <c r="F25" i="3"/>
  <c r="F26" i="3"/>
  <c r="F28" i="3"/>
  <c r="F29" i="3"/>
  <c r="F31" i="3"/>
  <c r="F32" i="3"/>
  <c r="F33" i="3"/>
  <c r="F34" i="3"/>
  <c r="F35" i="3"/>
  <c r="F36" i="3"/>
  <c r="F37" i="3"/>
  <c r="F38" i="3"/>
  <c r="F39" i="3"/>
  <c r="F40" i="3"/>
  <c r="F43" i="3"/>
  <c r="F44" i="3"/>
  <c r="F45" i="3"/>
  <c r="F46" i="3"/>
  <c r="F47" i="3"/>
  <c r="F48" i="3"/>
  <c r="F50" i="3"/>
  <c r="F6" i="4"/>
  <c r="F7" i="4"/>
  <c r="F9" i="4"/>
  <c r="F10" i="4"/>
  <c r="F12" i="4"/>
  <c r="F13" i="4"/>
  <c r="F14" i="4"/>
  <c r="F16" i="4"/>
  <c r="F17" i="4"/>
  <c r="F18" i="4"/>
  <c r="F19" i="4"/>
  <c r="F21" i="4"/>
  <c r="F23" i="4"/>
  <c r="F24" i="4"/>
  <c r="F25" i="4"/>
  <c r="F26" i="4"/>
  <c r="F31" i="4"/>
  <c r="F32" i="4"/>
  <c r="F33" i="4"/>
  <c r="F34" i="4"/>
  <c r="F35" i="4"/>
  <c r="F36" i="4"/>
  <c r="F37" i="4"/>
  <c r="F38" i="4"/>
  <c r="F39" i="4"/>
  <c r="F42" i="4"/>
  <c r="F43" i="4"/>
  <c r="F44" i="4"/>
  <c r="F45" i="4"/>
  <c r="F46" i="4"/>
  <c r="F47" i="4"/>
  <c r="F48" i="4"/>
  <c r="F50" i="4"/>
  <c r="F6" i="6"/>
  <c r="F7" i="6"/>
  <c r="F8" i="6"/>
  <c r="F9" i="6"/>
  <c r="F10" i="6"/>
  <c r="F12" i="6"/>
  <c r="F13" i="6"/>
  <c r="F14" i="6"/>
  <c r="F16" i="6"/>
  <c r="F17" i="6"/>
  <c r="F18" i="6"/>
  <c r="F19" i="6"/>
  <c r="F21" i="6"/>
  <c r="F23" i="6"/>
  <c r="F24" i="6"/>
  <c r="F25" i="6"/>
  <c r="F26" i="6"/>
  <c r="F28" i="6"/>
  <c r="F29" i="6"/>
  <c r="F31" i="6"/>
  <c r="F32" i="6"/>
  <c r="F33" i="6"/>
  <c r="F34" i="6"/>
  <c r="F35" i="6"/>
  <c r="F36" i="6"/>
  <c r="F37" i="6"/>
  <c r="F38" i="6"/>
  <c r="F39" i="6"/>
  <c r="F40" i="6"/>
  <c r="F42" i="6"/>
  <c r="F43" i="6"/>
  <c r="F44" i="6"/>
  <c r="F45" i="6"/>
  <c r="F46" i="6"/>
  <c r="F47" i="6"/>
  <c r="F48" i="6"/>
  <c r="F50" i="6"/>
  <c r="F6" i="7"/>
  <c r="F7" i="7"/>
  <c r="F8" i="7"/>
  <c r="F9" i="7"/>
  <c r="F12" i="7"/>
  <c r="F13" i="7"/>
  <c r="F14" i="7"/>
  <c r="F16" i="7"/>
  <c r="F17" i="7"/>
  <c r="F18" i="7"/>
  <c r="F19" i="7"/>
  <c r="F21" i="7"/>
  <c r="F23" i="7"/>
  <c r="F24" i="7"/>
  <c r="F25" i="7"/>
  <c r="F26" i="7"/>
  <c r="F28" i="7"/>
  <c r="F29" i="7"/>
  <c r="F31" i="7"/>
  <c r="F32" i="7"/>
  <c r="F33" i="7"/>
  <c r="F34" i="7"/>
  <c r="F35" i="7"/>
  <c r="F36" i="7"/>
  <c r="F37" i="7"/>
  <c r="F38" i="7"/>
  <c r="F39" i="7"/>
  <c r="F40" i="7"/>
  <c r="F42" i="7"/>
  <c r="F43" i="7"/>
  <c r="F44" i="7"/>
  <c r="F45" i="7"/>
  <c r="F46" i="7"/>
  <c r="F47" i="7"/>
  <c r="F48" i="7"/>
  <c r="F50" i="7"/>
  <c r="F6" i="8"/>
  <c r="F7" i="8"/>
  <c r="F8" i="8"/>
  <c r="F9" i="8"/>
  <c r="F10" i="8"/>
  <c r="F12" i="8"/>
  <c r="F13" i="8"/>
  <c r="F14" i="8"/>
  <c r="F16" i="8"/>
  <c r="F17" i="8"/>
  <c r="F18" i="8"/>
  <c r="F19" i="8"/>
  <c r="F21" i="8"/>
  <c r="F23" i="8"/>
  <c r="F24" i="8"/>
  <c r="F25" i="8"/>
  <c r="F28" i="8"/>
  <c r="F29" i="8"/>
  <c r="F31" i="8"/>
  <c r="F32" i="8"/>
  <c r="F33" i="8"/>
  <c r="F34" i="8"/>
  <c r="F35" i="8"/>
  <c r="F36" i="8"/>
  <c r="F37" i="8"/>
  <c r="F38" i="8"/>
  <c r="F39" i="8"/>
  <c r="F40" i="8"/>
  <c r="F42" i="8"/>
  <c r="F43" i="8"/>
  <c r="F44" i="8"/>
  <c r="F45" i="8"/>
  <c r="F46" i="8"/>
  <c r="F47" i="8"/>
  <c r="F48" i="8"/>
  <c r="F50" i="8"/>
  <c r="F6" i="9"/>
  <c r="F7" i="9"/>
  <c r="F9" i="9"/>
  <c r="F10" i="9"/>
  <c r="F12" i="9"/>
  <c r="F13" i="9"/>
  <c r="F14" i="9"/>
  <c r="F16" i="9"/>
  <c r="F17" i="9"/>
  <c r="F18" i="9"/>
  <c r="F19" i="9"/>
  <c r="F21" i="9"/>
  <c r="F23" i="9"/>
  <c r="F24" i="9"/>
  <c r="F25" i="9"/>
  <c r="F26" i="9"/>
  <c r="F29" i="9"/>
  <c r="F31" i="9"/>
  <c r="F32" i="9"/>
  <c r="F33" i="9"/>
  <c r="F34" i="9"/>
  <c r="F35" i="9"/>
  <c r="F36" i="9"/>
  <c r="F38" i="9"/>
  <c r="F39" i="9"/>
  <c r="F42" i="9"/>
  <c r="F43" i="9"/>
  <c r="F44" i="9"/>
  <c r="F45" i="9"/>
  <c r="F46" i="9"/>
  <c r="F47" i="9"/>
  <c r="F48" i="9"/>
  <c r="F50" i="9"/>
  <c r="F6" i="10"/>
  <c r="F7" i="10"/>
  <c r="F8" i="10"/>
  <c r="F9" i="10"/>
  <c r="F10" i="10"/>
  <c r="F12" i="10"/>
  <c r="F13" i="10"/>
  <c r="F14" i="10"/>
  <c r="F16" i="10"/>
  <c r="F17" i="10"/>
  <c r="F18" i="10"/>
  <c r="F19" i="10"/>
  <c r="F21" i="10"/>
  <c r="F23" i="10"/>
  <c r="F24" i="10"/>
  <c r="F25" i="10"/>
  <c r="F26" i="10"/>
  <c r="F28" i="10"/>
  <c r="F29" i="10"/>
  <c r="F31" i="10"/>
  <c r="F32" i="10"/>
  <c r="F33" i="10"/>
  <c r="F34" i="10"/>
  <c r="F35" i="10"/>
  <c r="F36" i="10"/>
  <c r="F37" i="10"/>
  <c r="F38" i="10"/>
  <c r="F39" i="10"/>
  <c r="F40" i="10"/>
  <c r="F42" i="10"/>
  <c r="F43" i="10"/>
  <c r="F44" i="10"/>
  <c r="F45" i="10"/>
  <c r="F46" i="10"/>
  <c r="F47" i="10"/>
  <c r="F48" i="10"/>
  <c r="F50" i="10"/>
  <c r="F6" i="11"/>
  <c r="F7" i="11"/>
  <c r="F8" i="11"/>
  <c r="F9" i="11"/>
  <c r="F10" i="11"/>
  <c r="F12" i="11"/>
  <c r="F13" i="11"/>
  <c r="F14" i="11"/>
  <c r="F16" i="11"/>
  <c r="F17" i="11"/>
  <c r="F18" i="11"/>
  <c r="F19" i="11"/>
  <c r="F21" i="11"/>
  <c r="F23" i="11"/>
  <c r="F24" i="11"/>
  <c r="F25" i="11"/>
  <c r="F26" i="11"/>
  <c r="F29" i="11"/>
  <c r="F31" i="11"/>
  <c r="F32" i="11"/>
  <c r="F33" i="11"/>
  <c r="F34" i="11"/>
  <c r="F35" i="11"/>
  <c r="F36" i="11"/>
  <c r="F37" i="11"/>
  <c r="F38" i="11"/>
  <c r="F39" i="11"/>
  <c r="F42" i="11"/>
  <c r="F43" i="11"/>
  <c r="F44" i="11"/>
  <c r="F45" i="11"/>
  <c r="F46" i="11"/>
  <c r="F47" i="11"/>
  <c r="F48" i="11"/>
  <c r="F50" i="11"/>
  <c r="F6" i="12"/>
  <c r="F7" i="12"/>
  <c r="F8" i="12"/>
  <c r="F9" i="12"/>
  <c r="F10" i="12"/>
  <c r="F12" i="12"/>
  <c r="F13" i="12"/>
  <c r="F14" i="12"/>
  <c r="F17" i="12"/>
  <c r="F18" i="12"/>
  <c r="F19" i="12"/>
  <c r="F21" i="12"/>
  <c r="F23" i="12"/>
  <c r="F24" i="12"/>
  <c r="F25" i="12"/>
  <c r="F26" i="12"/>
  <c r="F28" i="12"/>
  <c r="F29" i="12"/>
  <c r="F31" i="12"/>
  <c r="F32" i="12"/>
  <c r="F33" i="12"/>
  <c r="F34" i="12"/>
  <c r="F35" i="12"/>
  <c r="F36" i="12"/>
  <c r="F37" i="12"/>
  <c r="F38" i="12"/>
  <c r="F39" i="12"/>
  <c r="F40" i="12"/>
  <c r="F42" i="12"/>
  <c r="F43" i="12"/>
  <c r="F44" i="12"/>
  <c r="F45" i="12"/>
  <c r="F46" i="12"/>
  <c r="F47" i="12"/>
  <c r="F48" i="12"/>
  <c r="F50" i="12"/>
  <c r="F6" i="14"/>
  <c r="F7" i="14"/>
  <c r="F8" i="14"/>
  <c r="F9" i="14"/>
  <c r="F10" i="14"/>
  <c r="F12" i="14"/>
  <c r="F13" i="14"/>
  <c r="F14" i="14"/>
  <c r="F16" i="14"/>
  <c r="F17" i="14"/>
  <c r="F18" i="14"/>
  <c r="F19" i="14"/>
  <c r="F21" i="14"/>
  <c r="F23" i="14"/>
  <c r="F24" i="14"/>
  <c r="F25" i="14"/>
  <c r="F26" i="14"/>
  <c r="F28" i="14"/>
  <c r="F29" i="14"/>
  <c r="F31" i="14"/>
  <c r="F32" i="14"/>
  <c r="F33" i="14"/>
  <c r="F34" i="14"/>
  <c r="F35" i="14"/>
  <c r="F36" i="14"/>
  <c r="F37" i="14"/>
  <c r="F38" i="14"/>
  <c r="F39" i="14"/>
  <c r="F40" i="14"/>
  <c r="F42" i="14"/>
  <c r="F43" i="14"/>
  <c r="F44" i="14"/>
  <c r="F45" i="14"/>
  <c r="F46" i="14"/>
  <c r="F47" i="14"/>
  <c r="F48" i="14"/>
  <c r="F50" i="14"/>
  <c r="F6" i="15"/>
  <c r="F7" i="15"/>
  <c r="F8" i="15"/>
  <c r="F9" i="15"/>
  <c r="F12" i="15"/>
  <c r="F13" i="15"/>
  <c r="F14" i="15"/>
  <c r="F16" i="15"/>
  <c r="F17" i="15"/>
  <c r="F18" i="15"/>
  <c r="F19" i="15"/>
  <c r="F21" i="15"/>
  <c r="F23" i="15"/>
  <c r="F24" i="15"/>
  <c r="F25" i="15"/>
  <c r="F26" i="15"/>
  <c r="F28" i="15"/>
  <c r="F29" i="15"/>
  <c r="F31" i="15"/>
  <c r="F32" i="15"/>
  <c r="F33" i="15"/>
  <c r="F34" i="15"/>
  <c r="F35" i="15"/>
  <c r="F36" i="15"/>
  <c r="F37" i="15"/>
  <c r="F38" i="15"/>
  <c r="F39" i="15"/>
  <c r="F40" i="15"/>
  <c r="F42" i="15"/>
  <c r="F43" i="15"/>
  <c r="F44" i="15"/>
  <c r="F45" i="15"/>
  <c r="F46" i="15"/>
  <c r="F47" i="15"/>
  <c r="F48" i="15"/>
  <c r="F50" i="15"/>
  <c r="F6" i="16"/>
  <c r="F7" i="16"/>
  <c r="F8" i="16"/>
  <c r="F9" i="16"/>
  <c r="F10" i="16"/>
  <c r="F12" i="16"/>
  <c r="F13" i="16"/>
  <c r="F14" i="16"/>
  <c r="F16" i="16"/>
  <c r="F17" i="16"/>
  <c r="F18" i="16"/>
  <c r="F19" i="16"/>
  <c r="F21" i="16"/>
  <c r="F23" i="16"/>
  <c r="F24" i="16"/>
  <c r="F25" i="16"/>
  <c r="F26" i="16"/>
  <c r="F28" i="16"/>
  <c r="F29" i="16"/>
  <c r="F31" i="16"/>
  <c r="F32" i="16"/>
  <c r="F33" i="16"/>
  <c r="F34" i="16"/>
  <c r="F35" i="16"/>
  <c r="F36" i="16"/>
  <c r="F37" i="16"/>
  <c r="F38" i="16"/>
  <c r="F39" i="16"/>
  <c r="F40" i="16"/>
  <c r="F42" i="16"/>
  <c r="F43" i="16"/>
  <c r="F44" i="16"/>
  <c r="F45" i="16"/>
  <c r="F46" i="16"/>
  <c r="F47" i="16"/>
  <c r="F48" i="16"/>
  <c r="F50" i="16"/>
  <c r="F6" i="17"/>
  <c r="F7" i="17"/>
  <c r="F9" i="17"/>
  <c r="F12" i="17"/>
  <c r="F13" i="17"/>
  <c r="F14" i="17"/>
  <c r="F16" i="17"/>
  <c r="F17" i="17"/>
  <c r="F18" i="17"/>
  <c r="F19" i="17"/>
  <c r="F21" i="17"/>
  <c r="F23" i="17"/>
  <c r="F24" i="17"/>
  <c r="F25" i="17"/>
  <c r="F26" i="17"/>
  <c r="F28" i="17"/>
  <c r="F29" i="17"/>
  <c r="F31" i="17"/>
  <c r="F32" i="17"/>
  <c r="F33" i="17"/>
  <c r="F34" i="17"/>
  <c r="F35" i="17"/>
  <c r="F36" i="17"/>
  <c r="F37" i="17"/>
  <c r="F38" i="17"/>
  <c r="F39" i="17"/>
  <c r="F40" i="17"/>
  <c r="F42" i="17"/>
  <c r="F43" i="17"/>
  <c r="F44" i="17"/>
  <c r="F45" i="17"/>
  <c r="F46" i="17"/>
  <c r="F47" i="17"/>
  <c r="F48" i="17"/>
  <c r="F50" i="17"/>
  <c r="F6" i="18"/>
  <c r="F7" i="18"/>
  <c r="F9" i="18"/>
  <c r="F10" i="18"/>
  <c r="F12" i="18"/>
  <c r="F13" i="18"/>
  <c r="F14" i="18"/>
  <c r="F16" i="18"/>
  <c r="F17" i="18"/>
  <c r="F18" i="18"/>
  <c r="F19" i="18"/>
  <c r="F21" i="18"/>
  <c r="F23" i="18"/>
  <c r="F24" i="18"/>
  <c r="F25" i="18"/>
  <c r="F26" i="18"/>
  <c r="F28" i="18"/>
  <c r="F29" i="18"/>
  <c r="F31" i="18"/>
  <c r="F32" i="18"/>
  <c r="F33" i="18"/>
  <c r="F34" i="18"/>
  <c r="F35" i="18"/>
  <c r="F36" i="18"/>
  <c r="F37" i="18"/>
  <c r="F38" i="18"/>
  <c r="F39" i="18"/>
  <c r="F40" i="18"/>
  <c r="F42" i="18"/>
  <c r="F43" i="18"/>
  <c r="F44" i="18"/>
  <c r="F45" i="18"/>
  <c r="F46" i="18"/>
  <c r="F47" i="18"/>
  <c r="F48" i="18"/>
  <c r="F50" i="18"/>
  <c r="F6" i="19"/>
  <c r="F7" i="19"/>
  <c r="F8" i="19"/>
  <c r="F9" i="19"/>
  <c r="F10" i="19"/>
  <c r="F12" i="19"/>
  <c r="F13" i="19"/>
  <c r="F14" i="19"/>
  <c r="F16" i="19"/>
  <c r="F17" i="19"/>
  <c r="F18" i="19"/>
  <c r="F19" i="19"/>
  <c r="F21" i="19"/>
  <c r="F23" i="19"/>
  <c r="F24" i="19"/>
  <c r="F25" i="19"/>
  <c r="F26" i="19"/>
  <c r="F28" i="19"/>
  <c r="F29" i="19"/>
  <c r="F31" i="19"/>
  <c r="F32" i="19"/>
  <c r="F33" i="19"/>
  <c r="F34" i="19"/>
  <c r="F35" i="19"/>
  <c r="F36" i="19"/>
  <c r="F37" i="19"/>
  <c r="F38" i="19"/>
  <c r="F39" i="19"/>
  <c r="F40" i="19"/>
  <c r="F42" i="19"/>
  <c r="F43" i="19"/>
  <c r="F44" i="19"/>
  <c r="F45" i="19"/>
  <c r="F46" i="19"/>
  <c r="F47" i="19"/>
  <c r="F48" i="19"/>
  <c r="F50" i="19"/>
  <c r="F6" i="20"/>
  <c r="F7" i="20"/>
  <c r="F8" i="20"/>
  <c r="F9" i="20"/>
  <c r="F10" i="20"/>
  <c r="F12" i="20"/>
  <c r="F13" i="20"/>
  <c r="F14" i="20"/>
  <c r="F16" i="20"/>
  <c r="F17" i="20"/>
  <c r="F18" i="20"/>
  <c r="F19" i="20"/>
  <c r="F21" i="20"/>
  <c r="F23" i="20"/>
  <c r="F24" i="20"/>
  <c r="F25" i="20"/>
  <c r="F26" i="20"/>
  <c r="F28" i="20"/>
  <c r="F29" i="20"/>
  <c r="F31" i="20"/>
  <c r="F32" i="20"/>
  <c r="F33" i="20"/>
  <c r="F34" i="20"/>
  <c r="F35" i="20"/>
  <c r="F36" i="20"/>
  <c r="F37" i="20"/>
  <c r="F38" i="20"/>
  <c r="F39" i="20"/>
  <c r="F40" i="20"/>
  <c r="F42" i="20"/>
  <c r="F43" i="20"/>
  <c r="F44" i="20"/>
  <c r="F45" i="20"/>
  <c r="F46" i="20"/>
  <c r="F47" i="20"/>
  <c r="F48" i="20"/>
  <c r="F50" i="20"/>
  <c r="F6" i="21"/>
  <c r="F7" i="21"/>
  <c r="F8" i="21"/>
  <c r="F9" i="21"/>
  <c r="F12" i="21"/>
  <c r="F13" i="21"/>
  <c r="F14" i="21"/>
  <c r="F16" i="21"/>
  <c r="F17" i="21"/>
  <c r="F18" i="21"/>
  <c r="F19" i="21"/>
  <c r="F21" i="21"/>
  <c r="F23" i="21"/>
  <c r="F24" i="21"/>
  <c r="F25" i="21"/>
  <c r="F26" i="21"/>
  <c r="F28" i="21"/>
  <c r="F29" i="21"/>
  <c r="F31" i="21"/>
  <c r="F32" i="21"/>
  <c r="F33" i="21"/>
  <c r="F34" i="21"/>
  <c r="F35" i="21"/>
  <c r="F36" i="21"/>
  <c r="F37" i="21"/>
  <c r="F38" i="21"/>
  <c r="F39" i="21"/>
  <c r="F40" i="21"/>
  <c r="F42" i="21"/>
  <c r="F43" i="21"/>
  <c r="F44" i="21"/>
  <c r="F45" i="21"/>
  <c r="F46" i="21"/>
  <c r="F47" i="21"/>
  <c r="F48" i="21"/>
  <c r="F50" i="21"/>
  <c r="F6" i="22"/>
  <c r="F7" i="22"/>
  <c r="F8" i="22"/>
  <c r="F9" i="22"/>
  <c r="F10" i="22"/>
  <c r="F12" i="22"/>
  <c r="F13" i="22"/>
  <c r="F14" i="22"/>
  <c r="F16" i="22"/>
  <c r="F17" i="22"/>
  <c r="F18" i="22"/>
  <c r="F19" i="22"/>
  <c r="F21" i="22"/>
  <c r="F23" i="22"/>
  <c r="F24" i="22"/>
  <c r="F25" i="22"/>
  <c r="F26" i="22"/>
  <c r="F28" i="22"/>
  <c r="F29" i="22"/>
  <c r="F31" i="22"/>
  <c r="F32" i="22"/>
  <c r="F33" i="22"/>
  <c r="F34" i="22"/>
  <c r="F35" i="22"/>
  <c r="F36" i="22"/>
  <c r="F37" i="22"/>
  <c r="F38" i="22"/>
  <c r="F39" i="22"/>
  <c r="F40" i="22"/>
  <c r="F42" i="22"/>
  <c r="F43" i="22"/>
  <c r="F44" i="22"/>
  <c r="F45" i="22"/>
  <c r="F46" i="22"/>
  <c r="F47" i="22"/>
  <c r="F48" i="22"/>
  <c r="F50" i="22"/>
  <c r="F6" i="23"/>
  <c r="F7" i="23"/>
  <c r="F8" i="23"/>
  <c r="F9" i="23"/>
  <c r="F10" i="23"/>
  <c r="F12" i="23"/>
  <c r="F13" i="23"/>
  <c r="F14" i="23"/>
  <c r="F16" i="23"/>
  <c r="F17" i="23"/>
  <c r="F18" i="23"/>
  <c r="F19" i="23"/>
  <c r="F21" i="23"/>
  <c r="F23" i="23"/>
  <c r="F24" i="23"/>
  <c r="F25" i="23"/>
  <c r="F26" i="23"/>
  <c r="F28" i="23"/>
  <c r="F29" i="23"/>
  <c r="F31" i="23"/>
  <c r="F32" i="23"/>
  <c r="F33" i="23"/>
  <c r="F34" i="23"/>
  <c r="F35" i="23"/>
  <c r="F36" i="23"/>
  <c r="F37" i="23"/>
  <c r="F38" i="23"/>
  <c r="F39" i="23"/>
  <c r="F40" i="23"/>
  <c r="F42" i="23"/>
  <c r="F43" i="23"/>
  <c r="F44" i="23"/>
  <c r="F45" i="23"/>
  <c r="F46" i="23"/>
  <c r="F47" i="23"/>
  <c r="F48" i="23"/>
  <c r="F50" i="23"/>
  <c r="F6" i="24"/>
  <c r="F7" i="24"/>
  <c r="F8" i="24"/>
  <c r="F9" i="24"/>
  <c r="F10" i="24"/>
  <c r="F12" i="24"/>
  <c r="F13" i="24"/>
  <c r="F14" i="24"/>
  <c r="F16" i="24"/>
  <c r="F17" i="24"/>
  <c r="F18" i="24"/>
  <c r="F19" i="24"/>
  <c r="F21" i="24"/>
  <c r="F23" i="24"/>
  <c r="F24" i="24"/>
  <c r="F25" i="24"/>
  <c r="F26" i="24"/>
  <c r="F28" i="24"/>
  <c r="F29" i="24"/>
  <c r="F31" i="24"/>
  <c r="F32" i="24"/>
  <c r="F33" i="24"/>
  <c r="F34" i="24"/>
  <c r="F35" i="24"/>
  <c r="F36" i="24"/>
  <c r="F37" i="24"/>
  <c r="F38" i="24"/>
  <c r="F39" i="24"/>
  <c r="F40" i="24"/>
  <c r="F42" i="24"/>
  <c r="F43" i="24"/>
  <c r="F44" i="24"/>
  <c r="F45" i="24"/>
  <c r="F46" i="24"/>
  <c r="F47" i="24"/>
  <c r="F48" i="24"/>
  <c r="F50" i="24"/>
  <c r="F6" i="25"/>
  <c r="F7" i="25"/>
  <c r="F8" i="25"/>
  <c r="F9" i="25"/>
  <c r="F10" i="25"/>
  <c r="F12" i="25"/>
  <c r="F13" i="25"/>
  <c r="F14" i="25"/>
  <c r="F16" i="25"/>
  <c r="F17" i="25"/>
  <c r="F18" i="25"/>
  <c r="F19" i="25"/>
  <c r="F21" i="25"/>
  <c r="F23" i="25"/>
  <c r="F24" i="25"/>
  <c r="F25" i="25"/>
  <c r="F26" i="25"/>
  <c r="F28" i="25"/>
  <c r="F29" i="25"/>
  <c r="F31" i="25"/>
  <c r="F32" i="25"/>
  <c r="F33" i="25"/>
  <c r="F34" i="25"/>
  <c r="F35" i="25"/>
  <c r="F36" i="25"/>
  <c r="F37" i="25"/>
  <c r="F38" i="25"/>
  <c r="F39" i="25"/>
  <c r="F40" i="25"/>
  <c r="F42" i="25"/>
  <c r="F43" i="25"/>
  <c r="F44" i="25"/>
  <c r="F45" i="25"/>
  <c r="F46" i="25"/>
  <c r="F47" i="25"/>
  <c r="F48" i="25"/>
  <c r="F50" i="25"/>
  <c r="F6" i="26"/>
  <c r="F7" i="26"/>
  <c r="F9" i="26"/>
  <c r="F10" i="26"/>
  <c r="F12" i="26"/>
  <c r="F13" i="26"/>
  <c r="F14" i="26"/>
  <c r="F16" i="26"/>
  <c r="F17" i="26"/>
  <c r="F18" i="26"/>
  <c r="F19" i="26"/>
  <c r="F21" i="26"/>
  <c r="F23" i="26"/>
  <c r="F24" i="26"/>
  <c r="F25" i="26"/>
  <c r="F26" i="26"/>
  <c r="F28" i="26"/>
  <c r="F29" i="26"/>
  <c r="F31" i="26"/>
  <c r="F32" i="26"/>
  <c r="F33" i="26"/>
  <c r="F34" i="26"/>
  <c r="F35" i="26"/>
  <c r="F36" i="26"/>
  <c r="F37" i="26"/>
  <c r="F38" i="26"/>
  <c r="F39" i="26"/>
  <c r="F40" i="26"/>
  <c r="F42" i="26"/>
  <c r="F43" i="26"/>
  <c r="F44" i="26"/>
  <c r="F45" i="26"/>
  <c r="F46" i="26"/>
  <c r="F47" i="26"/>
  <c r="F48" i="26"/>
  <c r="F50" i="26"/>
  <c r="F6" i="27"/>
  <c r="F7" i="27"/>
  <c r="F8" i="27"/>
  <c r="F9" i="27"/>
  <c r="F10" i="27"/>
  <c r="F12" i="27"/>
  <c r="F13" i="27"/>
  <c r="F14" i="27"/>
  <c r="F16" i="27"/>
  <c r="F17" i="27"/>
  <c r="F18" i="27"/>
  <c r="F19" i="27"/>
  <c r="F21" i="27"/>
  <c r="F23" i="27"/>
  <c r="F24" i="27"/>
  <c r="F25" i="27"/>
  <c r="F26" i="27"/>
  <c r="F28" i="27"/>
  <c r="F29" i="27"/>
  <c r="F31" i="27"/>
  <c r="F32" i="27"/>
  <c r="F33" i="27"/>
  <c r="F34" i="27"/>
  <c r="F35" i="27"/>
  <c r="F36" i="27"/>
  <c r="F37" i="27"/>
  <c r="F38" i="27"/>
  <c r="F39" i="27"/>
  <c r="F40" i="27"/>
  <c r="F42" i="27"/>
  <c r="F43" i="27"/>
  <c r="F44" i="27"/>
  <c r="F45" i="27"/>
  <c r="F46" i="27"/>
  <c r="F47" i="27"/>
  <c r="F48" i="27"/>
  <c r="F50" i="27"/>
  <c r="F6" i="28"/>
  <c r="F7" i="28"/>
  <c r="F8" i="28"/>
  <c r="F9" i="28"/>
  <c r="F10" i="28"/>
  <c r="F12" i="28"/>
  <c r="F13" i="28"/>
  <c r="F14" i="28"/>
  <c r="F16" i="28"/>
  <c r="F17" i="28"/>
  <c r="F18" i="28"/>
  <c r="F19" i="28"/>
  <c r="F21" i="28"/>
  <c r="F23" i="28"/>
  <c r="F24" i="28"/>
  <c r="F25" i="28"/>
  <c r="F26" i="28"/>
  <c r="F28" i="28"/>
  <c r="F29" i="28"/>
  <c r="F31" i="28"/>
  <c r="F32" i="28"/>
  <c r="F33" i="28"/>
  <c r="F34" i="28"/>
  <c r="F35" i="28"/>
  <c r="F36" i="28"/>
  <c r="F37" i="28"/>
  <c r="F38" i="28"/>
  <c r="F39" i="28"/>
  <c r="F40" i="28"/>
  <c r="F42" i="28"/>
  <c r="F43" i="28"/>
  <c r="F44" i="28"/>
  <c r="F45" i="28"/>
  <c r="F46" i="28"/>
  <c r="F47" i="28"/>
  <c r="F48" i="28"/>
  <c r="F50" i="28"/>
  <c r="E50" i="1"/>
  <c r="E48" i="1"/>
  <c r="E47" i="1"/>
  <c r="E46" i="1"/>
  <c r="E45" i="1"/>
  <c r="E44" i="1"/>
  <c r="E43" i="1"/>
  <c r="E42" i="1"/>
  <c r="E38" i="1"/>
  <c r="E36" i="1"/>
  <c r="E35" i="1"/>
  <c r="E34" i="1"/>
  <c r="E33" i="1"/>
  <c r="E32" i="1"/>
  <c r="E31" i="1"/>
  <c r="E30" i="1"/>
  <c r="E28" i="1"/>
  <c r="E26" i="1"/>
  <c r="E25" i="1"/>
  <c r="E24" i="1"/>
  <c r="E23" i="1"/>
  <c r="E21" i="1"/>
  <c r="E19" i="1"/>
  <c r="E18" i="1"/>
  <c r="E17" i="1"/>
  <c r="E16" i="1"/>
  <c r="E14" i="1"/>
  <c r="E13" i="1"/>
  <c r="E12" i="1"/>
  <c r="E10" i="1"/>
  <c r="E9" i="1"/>
  <c r="E8" i="1"/>
  <c r="E7" i="1"/>
  <c r="E50" i="2"/>
  <c r="E48" i="2"/>
  <c r="E47" i="2"/>
  <c r="E46" i="2"/>
  <c r="E45" i="2"/>
  <c r="E44" i="2"/>
  <c r="E43" i="2"/>
  <c r="E42" i="2"/>
  <c r="E40" i="2"/>
  <c r="E39" i="2"/>
  <c r="E38" i="2"/>
  <c r="E37" i="2"/>
  <c r="E36" i="2"/>
  <c r="E35" i="2"/>
  <c r="E34" i="2"/>
  <c r="E33" i="2"/>
  <c r="E32" i="2"/>
  <c r="E31" i="2"/>
  <c r="E29" i="2"/>
  <c r="E28" i="2"/>
  <c r="E26" i="2"/>
  <c r="E25" i="2"/>
  <c r="E24" i="2"/>
  <c r="E23" i="2"/>
  <c r="E21" i="2"/>
  <c r="E19" i="2"/>
  <c r="E18" i="2"/>
  <c r="E17" i="2"/>
  <c r="E16" i="2"/>
  <c r="E14" i="2"/>
  <c r="E13" i="2"/>
  <c r="E12" i="2"/>
  <c r="E10" i="2"/>
  <c r="E9" i="2"/>
  <c r="E7" i="2"/>
  <c r="E50" i="3"/>
  <c r="E48" i="3"/>
  <c r="E47" i="3"/>
  <c r="E46" i="3"/>
  <c r="E45" i="3"/>
  <c r="E44" i="3"/>
  <c r="E43" i="3"/>
  <c r="E42" i="3"/>
  <c r="E40" i="3"/>
  <c r="E39" i="3"/>
  <c r="E38" i="3"/>
  <c r="E37" i="3"/>
  <c r="E36" i="3"/>
  <c r="E35" i="3"/>
  <c r="E34" i="3"/>
  <c r="E33" i="3"/>
  <c r="E32" i="3"/>
  <c r="E31" i="3"/>
  <c r="E29" i="3"/>
  <c r="E28" i="3"/>
  <c r="E26" i="3"/>
  <c r="E25" i="3"/>
  <c r="E24" i="3"/>
  <c r="E23" i="3"/>
  <c r="E21" i="3"/>
  <c r="E20" i="3"/>
  <c r="E19" i="3"/>
  <c r="E18" i="3"/>
  <c r="E17" i="3"/>
  <c r="E16" i="3"/>
  <c r="E14" i="3"/>
  <c r="E13" i="3"/>
  <c r="E12" i="3"/>
  <c r="E9" i="3"/>
  <c r="E8" i="3"/>
  <c r="E7" i="3"/>
  <c r="E50" i="4"/>
  <c r="E48" i="4"/>
  <c r="E47" i="4"/>
  <c r="E46" i="4"/>
  <c r="E45" i="4"/>
  <c r="E44" i="4"/>
  <c r="E43" i="4"/>
  <c r="E42" i="4"/>
  <c r="E39" i="4"/>
  <c r="E38" i="4"/>
  <c r="E37" i="4"/>
  <c r="E36" i="4"/>
  <c r="E35" i="4"/>
  <c r="E34" i="4"/>
  <c r="E33" i="4"/>
  <c r="E32" i="4"/>
  <c r="E31" i="4"/>
  <c r="E26" i="4"/>
  <c r="E25" i="4"/>
  <c r="E24" i="4"/>
  <c r="E23" i="4"/>
  <c r="E21" i="4"/>
  <c r="E19" i="4"/>
  <c r="E18" i="4"/>
  <c r="E17" i="4"/>
  <c r="E16" i="4"/>
  <c r="E14" i="4"/>
  <c r="E13" i="4"/>
  <c r="E12" i="4"/>
  <c r="E10" i="4"/>
  <c r="E9" i="4"/>
  <c r="E7" i="4"/>
  <c r="E50" i="6"/>
  <c r="E48" i="6"/>
  <c r="E47" i="6"/>
  <c r="E46" i="6"/>
  <c r="E45" i="6"/>
  <c r="E44" i="6"/>
  <c r="E43" i="6"/>
  <c r="E42" i="6"/>
  <c r="E40" i="6"/>
  <c r="E39" i="6"/>
  <c r="E38" i="6"/>
  <c r="E37" i="6"/>
  <c r="E36" i="6"/>
  <c r="E35" i="6"/>
  <c r="E34" i="6"/>
  <c r="E33" i="6"/>
  <c r="E32" i="6"/>
  <c r="E31" i="6"/>
  <c r="E29" i="6"/>
  <c r="E28" i="6"/>
  <c r="E26" i="6"/>
  <c r="E25" i="6"/>
  <c r="E24" i="6"/>
  <c r="E23" i="6"/>
  <c r="E21" i="6"/>
  <c r="E19" i="6"/>
  <c r="E18" i="6"/>
  <c r="E17" i="6"/>
  <c r="E16" i="6"/>
  <c r="E14" i="6"/>
  <c r="E13" i="6"/>
  <c r="E12" i="6"/>
  <c r="E10" i="6"/>
  <c r="E9" i="6"/>
  <c r="E8" i="6"/>
  <c r="E7" i="6"/>
  <c r="E50" i="7"/>
  <c r="E48" i="7"/>
  <c r="E47" i="7"/>
  <c r="E46" i="7"/>
  <c r="E45" i="7"/>
  <c r="E44" i="7"/>
  <c r="E43" i="7"/>
  <c r="E42" i="7"/>
  <c r="E40" i="7"/>
  <c r="E39" i="7"/>
  <c r="E38" i="7"/>
  <c r="E37" i="7"/>
  <c r="E36" i="7"/>
  <c r="E35" i="7"/>
  <c r="E34" i="7"/>
  <c r="E33" i="7"/>
  <c r="E32" i="7"/>
  <c r="E31" i="7"/>
  <c r="E29" i="7"/>
  <c r="E28" i="7"/>
  <c r="E26" i="7"/>
  <c r="E25" i="7"/>
  <c r="E24" i="7"/>
  <c r="E23" i="7"/>
  <c r="E21" i="7"/>
  <c r="E19" i="7"/>
  <c r="E18" i="7"/>
  <c r="E17" i="7"/>
  <c r="E16" i="7"/>
  <c r="E14" i="7"/>
  <c r="E13" i="7"/>
  <c r="E12" i="7"/>
  <c r="E9" i="7"/>
  <c r="E8" i="7"/>
  <c r="E7" i="7"/>
  <c r="E50" i="8"/>
  <c r="E48" i="8"/>
  <c r="E47" i="8"/>
  <c r="E46" i="8"/>
  <c r="E45" i="8"/>
  <c r="E44" i="8"/>
  <c r="E43" i="8"/>
  <c r="E42" i="8"/>
  <c r="E40" i="8"/>
  <c r="E39" i="8"/>
  <c r="E38" i="8"/>
  <c r="E37" i="8"/>
  <c r="E36" i="8"/>
  <c r="E35" i="8"/>
  <c r="E34" i="8"/>
  <c r="E33" i="8"/>
  <c r="E32" i="8"/>
  <c r="E31" i="8"/>
  <c r="E29" i="8"/>
  <c r="E28" i="8"/>
  <c r="E26" i="8"/>
  <c r="E25" i="8"/>
  <c r="E24" i="8"/>
  <c r="E23" i="8"/>
  <c r="E21" i="8"/>
  <c r="E19" i="8"/>
  <c r="E18" i="8"/>
  <c r="E17" i="8"/>
  <c r="E16" i="8"/>
  <c r="E14" i="8"/>
  <c r="E13" i="8"/>
  <c r="E12" i="8"/>
  <c r="E10" i="8"/>
  <c r="E9" i="8"/>
  <c r="E8" i="8"/>
  <c r="E7" i="8"/>
  <c r="E50" i="9"/>
  <c r="E48" i="9"/>
  <c r="E47" i="9"/>
  <c r="E46" i="9"/>
  <c r="E45" i="9"/>
  <c r="E44" i="9"/>
  <c r="E43" i="9"/>
  <c r="E42" i="9"/>
  <c r="E39" i="9"/>
  <c r="E38" i="9"/>
  <c r="E37" i="9"/>
  <c r="E36" i="9"/>
  <c r="E35" i="9"/>
  <c r="E34" i="9"/>
  <c r="E33" i="9"/>
  <c r="E32" i="9"/>
  <c r="E31" i="9"/>
  <c r="E29" i="9"/>
  <c r="E26" i="9"/>
  <c r="E25" i="9"/>
  <c r="E24" i="9"/>
  <c r="E23" i="9"/>
  <c r="E21" i="9"/>
  <c r="E19" i="9"/>
  <c r="E18" i="9"/>
  <c r="E17" i="9"/>
  <c r="E16" i="9"/>
  <c r="E14" i="9"/>
  <c r="E13" i="9"/>
  <c r="E12" i="9"/>
  <c r="E10" i="9"/>
  <c r="E9" i="9"/>
  <c r="E8" i="9"/>
  <c r="E7" i="9"/>
  <c r="E50" i="10"/>
  <c r="E48" i="10"/>
  <c r="E47" i="10"/>
  <c r="E46" i="10"/>
  <c r="E45" i="10"/>
  <c r="E44" i="10"/>
  <c r="E43" i="10"/>
  <c r="E42" i="10"/>
  <c r="E40" i="10"/>
  <c r="E39" i="10"/>
  <c r="E38" i="10"/>
  <c r="E37" i="10"/>
  <c r="E36" i="10"/>
  <c r="E35" i="10"/>
  <c r="E34" i="10"/>
  <c r="E33" i="10"/>
  <c r="E32" i="10"/>
  <c r="E31" i="10"/>
  <c r="E29" i="10"/>
  <c r="E28" i="10"/>
  <c r="E26" i="10"/>
  <c r="E25" i="10"/>
  <c r="E24" i="10"/>
  <c r="E23" i="10"/>
  <c r="E21" i="10"/>
  <c r="E19" i="10"/>
  <c r="E18" i="10"/>
  <c r="E17" i="10"/>
  <c r="E16" i="10"/>
  <c r="E14" i="10"/>
  <c r="E13" i="10"/>
  <c r="E12" i="10"/>
  <c r="E10" i="10"/>
  <c r="E9" i="10"/>
  <c r="E8" i="10"/>
  <c r="E7" i="10"/>
  <c r="E50" i="11"/>
  <c r="E48" i="11"/>
  <c r="E47" i="11"/>
  <c r="E46" i="11"/>
  <c r="E45" i="11"/>
  <c r="E44" i="11"/>
  <c r="E43" i="11"/>
  <c r="E42" i="11"/>
  <c r="E40" i="11"/>
  <c r="E39" i="11"/>
  <c r="E38" i="11"/>
  <c r="E37" i="11"/>
  <c r="E36" i="11"/>
  <c r="E35" i="11"/>
  <c r="E34" i="11"/>
  <c r="E33" i="11"/>
  <c r="E32" i="11"/>
  <c r="E31" i="11"/>
  <c r="E29" i="11"/>
  <c r="E28" i="11"/>
  <c r="E26" i="11"/>
  <c r="E25" i="11"/>
  <c r="E24" i="11"/>
  <c r="E23" i="11"/>
  <c r="E21" i="11"/>
  <c r="E19" i="11"/>
  <c r="E18" i="11"/>
  <c r="E17" i="11"/>
  <c r="E16" i="11"/>
  <c r="E14" i="11"/>
  <c r="E13" i="11"/>
  <c r="E12" i="11"/>
  <c r="E10" i="11"/>
  <c r="E9" i="11"/>
  <c r="E8" i="11"/>
  <c r="E7" i="11"/>
  <c r="E50" i="12"/>
  <c r="E48" i="12"/>
  <c r="E47" i="12"/>
  <c r="E46" i="12"/>
  <c r="E45" i="12"/>
  <c r="E44" i="12"/>
  <c r="E43" i="12"/>
  <c r="E42" i="12"/>
  <c r="E40" i="12"/>
  <c r="E39" i="12"/>
  <c r="E38" i="12"/>
  <c r="E37" i="12"/>
  <c r="E36" i="12"/>
  <c r="E35" i="12"/>
  <c r="E34" i="12"/>
  <c r="E33" i="12"/>
  <c r="E32" i="12"/>
  <c r="E31" i="12"/>
  <c r="E29" i="12"/>
  <c r="E28" i="12"/>
  <c r="E26" i="12"/>
  <c r="E25" i="12"/>
  <c r="E24" i="12"/>
  <c r="E23" i="12"/>
  <c r="E21" i="12"/>
  <c r="E19" i="12"/>
  <c r="E18" i="12"/>
  <c r="E17" i="12"/>
  <c r="E14" i="12"/>
  <c r="E13" i="12"/>
  <c r="E12" i="12"/>
  <c r="E10" i="12"/>
  <c r="E9" i="12"/>
  <c r="E8" i="12"/>
  <c r="E7" i="12"/>
  <c r="E50" i="14"/>
  <c r="E48" i="14"/>
  <c r="E47" i="14"/>
  <c r="E46" i="14"/>
  <c r="E45" i="14"/>
  <c r="E44" i="14"/>
  <c r="E43" i="14"/>
  <c r="E42" i="14"/>
  <c r="E40" i="14"/>
  <c r="E39" i="14"/>
  <c r="E38" i="14"/>
  <c r="E37" i="14"/>
  <c r="E36" i="14"/>
  <c r="E35" i="14"/>
  <c r="E34" i="14"/>
  <c r="E33" i="14"/>
  <c r="E32" i="14"/>
  <c r="E31" i="14"/>
  <c r="E29" i="14"/>
  <c r="E28" i="14"/>
  <c r="E26" i="14"/>
  <c r="E25" i="14"/>
  <c r="E24" i="14"/>
  <c r="E23" i="14"/>
  <c r="E21" i="14"/>
  <c r="E19" i="14"/>
  <c r="E18" i="14"/>
  <c r="E17" i="14"/>
  <c r="E16" i="14"/>
  <c r="E14" i="14"/>
  <c r="E13" i="14"/>
  <c r="E12" i="14"/>
  <c r="E10" i="14"/>
  <c r="E9" i="14"/>
  <c r="E8" i="14"/>
  <c r="E7" i="14"/>
  <c r="E50" i="15"/>
  <c r="E48" i="15"/>
  <c r="E47" i="15"/>
  <c r="E46" i="15"/>
  <c r="E45" i="15"/>
  <c r="E44" i="15"/>
  <c r="E43" i="15"/>
  <c r="E42" i="15"/>
  <c r="E40" i="15"/>
  <c r="E39" i="15"/>
  <c r="E38" i="15"/>
  <c r="E37" i="15"/>
  <c r="E36" i="15"/>
  <c r="E35" i="15"/>
  <c r="E34" i="15"/>
  <c r="E33" i="15"/>
  <c r="E32" i="15"/>
  <c r="E31" i="15"/>
  <c r="E29" i="15"/>
  <c r="E28" i="15"/>
  <c r="E26" i="15"/>
  <c r="E25" i="15"/>
  <c r="E24" i="15"/>
  <c r="E23" i="15"/>
  <c r="E21" i="15"/>
  <c r="E19" i="15"/>
  <c r="E18" i="15"/>
  <c r="E17" i="15"/>
  <c r="E16" i="15"/>
  <c r="E14" i="15"/>
  <c r="E13" i="15"/>
  <c r="E12" i="15"/>
  <c r="E9" i="15"/>
  <c r="E8" i="15"/>
  <c r="E7" i="15"/>
  <c r="E50" i="16"/>
  <c r="E48" i="16"/>
  <c r="E47" i="16"/>
  <c r="E46" i="16"/>
  <c r="E45" i="16"/>
  <c r="E44" i="16"/>
  <c r="E43" i="16"/>
  <c r="E42" i="16"/>
  <c r="E40" i="16"/>
  <c r="E39" i="16"/>
  <c r="E38" i="16"/>
  <c r="E37" i="16"/>
  <c r="E36" i="16"/>
  <c r="E35" i="16"/>
  <c r="E34" i="16"/>
  <c r="E33" i="16"/>
  <c r="E32" i="16"/>
  <c r="E31" i="16"/>
  <c r="E29" i="16"/>
  <c r="E28" i="16"/>
  <c r="E26" i="16"/>
  <c r="E25" i="16"/>
  <c r="E24" i="16"/>
  <c r="E23" i="16"/>
  <c r="E21" i="16"/>
  <c r="E19" i="16"/>
  <c r="E18" i="16"/>
  <c r="E17" i="16"/>
  <c r="E16" i="16"/>
  <c r="E14" i="16"/>
  <c r="E13" i="16"/>
  <c r="E12" i="16"/>
  <c r="E10" i="16"/>
  <c r="E9" i="16"/>
  <c r="E8" i="16"/>
  <c r="E7" i="16"/>
  <c r="E50" i="17"/>
  <c r="E48" i="17"/>
  <c r="E47" i="17"/>
  <c r="E46" i="17"/>
  <c r="E45" i="17"/>
  <c r="E44" i="17"/>
  <c r="E43" i="17"/>
  <c r="E42" i="17"/>
  <c r="E40" i="17"/>
  <c r="E39" i="17"/>
  <c r="E38" i="17"/>
  <c r="E37" i="17"/>
  <c r="E36" i="17"/>
  <c r="E35" i="17"/>
  <c r="E34" i="17"/>
  <c r="E33" i="17"/>
  <c r="E32" i="17"/>
  <c r="E31" i="17"/>
  <c r="E29" i="17"/>
  <c r="E28" i="17"/>
  <c r="E26" i="17"/>
  <c r="E25" i="17"/>
  <c r="E24" i="17"/>
  <c r="E23" i="17"/>
  <c r="E21" i="17"/>
  <c r="E19" i="17"/>
  <c r="E18" i="17"/>
  <c r="E17" i="17"/>
  <c r="E16" i="17"/>
  <c r="E14" i="17"/>
  <c r="E13" i="17"/>
  <c r="E12" i="17"/>
  <c r="E9" i="17"/>
  <c r="E8" i="17"/>
  <c r="E7" i="17"/>
  <c r="E50" i="18"/>
  <c r="E48" i="18"/>
  <c r="E47" i="18"/>
  <c r="E46" i="18"/>
  <c r="E45" i="18"/>
  <c r="E44" i="18"/>
  <c r="E43" i="18"/>
  <c r="E42" i="18"/>
  <c r="E40" i="18"/>
  <c r="E39" i="18"/>
  <c r="E38" i="18"/>
  <c r="E37" i="18"/>
  <c r="E36" i="18"/>
  <c r="E35" i="18"/>
  <c r="E34" i="18"/>
  <c r="E33" i="18"/>
  <c r="E32" i="18"/>
  <c r="E31" i="18"/>
  <c r="E29" i="18"/>
  <c r="E28" i="18"/>
  <c r="E26" i="18"/>
  <c r="E25" i="18"/>
  <c r="E24" i="18"/>
  <c r="E23" i="18"/>
  <c r="E21" i="18"/>
  <c r="E19" i="18"/>
  <c r="E18" i="18"/>
  <c r="E17" i="18"/>
  <c r="E16" i="18"/>
  <c r="E14" i="18"/>
  <c r="E13" i="18"/>
  <c r="E12" i="18"/>
  <c r="E10" i="18"/>
  <c r="E9" i="18"/>
  <c r="E7" i="18"/>
  <c r="E50" i="19"/>
  <c r="E48" i="19"/>
  <c r="E47" i="19"/>
  <c r="E46" i="19"/>
  <c r="E45" i="19"/>
  <c r="E44" i="19"/>
  <c r="E43" i="19"/>
  <c r="E42" i="19"/>
  <c r="E39" i="19"/>
  <c r="E38" i="19"/>
  <c r="E37" i="19"/>
  <c r="E36" i="19"/>
  <c r="E35" i="19"/>
  <c r="E34" i="19"/>
  <c r="E33" i="19"/>
  <c r="E32" i="19"/>
  <c r="E31" i="19"/>
  <c r="E29" i="19"/>
  <c r="E26" i="19"/>
  <c r="E25" i="19"/>
  <c r="E24" i="19"/>
  <c r="E23" i="19"/>
  <c r="E21" i="19"/>
  <c r="E19" i="19"/>
  <c r="E18" i="19"/>
  <c r="E17" i="19"/>
  <c r="E16" i="19"/>
  <c r="E14" i="19"/>
  <c r="E13" i="19"/>
  <c r="E12" i="19"/>
  <c r="E10" i="19"/>
  <c r="E9" i="19"/>
  <c r="E8" i="19"/>
  <c r="E7" i="19"/>
  <c r="E50" i="20"/>
  <c r="E48" i="20"/>
  <c r="E47" i="20"/>
  <c r="E46" i="20"/>
  <c r="E45" i="20"/>
  <c r="E44" i="20"/>
  <c r="E43" i="20"/>
  <c r="E42" i="20"/>
  <c r="E40" i="20"/>
  <c r="E39" i="20"/>
  <c r="E38" i="20"/>
  <c r="E37" i="20"/>
  <c r="E36" i="20"/>
  <c r="E35" i="20"/>
  <c r="E34" i="20"/>
  <c r="E33" i="20"/>
  <c r="E32" i="20"/>
  <c r="E31" i="20"/>
  <c r="E29" i="20"/>
  <c r="E28" i="20"/>
  <c r="E26" i="20"/>
  <c r="E25" i="20"/>
  <c r="E24" i="20"/>
  <c r="E23" i="20"/>
  <c r="E21" i="20"/>
  <c r="E19" i="20"/>
  <c r="E18" i="20"/>
  <c r="E17" i="20"/>
  <c r="E16" i="20"/>
  <c r="E14" i="20"/>
  <c r="E13" i="20"/>
  <c r="E12" i="20"/>
  <c r="E10" i="20"/>
  <c r="E9" i="20"/>
  <c r="E8" i="20"/>
  <c r="E7" i="20"/>
  <c r="E50" i="21"/>
  <c r="E48" i="21"/>
  <c r="E47" i="21"/>
  <c r="E46" i="21"/>
  <c r="E45" i="21"/>
  <c r="E44" i="21"/>
  <c r="E43" i="21"/>
  <c r="E42" i="21"/>
  <c r="E40" i="21"/>
  <c r="E39" i="21"/>
  <c r="E38" i="21"/>
  <c r="E37" i="21"/>
  <c r="E36" i="21"/>
  <c r="E35" i="21"/>
  <c r="E34" i="21"/>
  <c r="E33" i="21"/>
  <c r="E32" i="21"/>
  <c r="E31" i="21"/>
  <c r="E29" i="21"/>
  <c r="E28" i="21"/>
  <c r="E26" i="21"/>
  <c r="E25" i="21"/>
  <c r="E24" i="21"/>
  <c r="E23" i="21"/>
  <c r="E21" i="21"/>
  <c r="E19" i="21"/>
  <c r="E18" i="21"/>
  <c r="E17" i="21"/>
  <c r="E16" i="21"/>
  <c r="E14" i="21"/>
  <c r="E13" i="21"/>
  <c r="E12" i="21"/>
  <c r="E9" i="21"/>
  <c r="E8" i="21"/>
  <c r="E7" i="21"/>
  <c r="E50" i="22"/>
  <c r="E48" i="22"/>
  <c r="E47" i="22"/>
  <c r="E46" i="22"/>
  <c r="E45" i="22"/>
  <c r="E44" i="22"/>
  <c r="E43" i="22"/>
  <c r="E42" i="22"/>
  <c r="E39" i="22"/>
  <c r="E38" i="22"/>
  <c r="E37" i="22"/>
  <c r="E36" i="22"/>
  <c r="E35" i="22"/>
  <c r="E34" i="22"/>
  <c r="E33" i="22"/>
  <c r="E32" i="22"/>
  <c r="E31" i="22"/>
  <c r="E29" i="22"/>
  <c r="E26" i="22"/>
  <c r="E25" i="22"/>
  <c r="E24" i="22"/>
  <c r="E23" i="22"/>
  <c r="E21" i="22"/>
  <c r="E19" i="22"/>
  <c r="E18" i="22"/>
  <c r="E17" i="22"/>
  <c r="E16" i="22"/>
  <c r="E14" i="22"/>
  <c r="E13" i="22"/>
  <c r="E12" i="22"/>
  <c r="E10" i="22"/>
  <c r="E9" i="22"/>
  <c r="E8" i="22"/>
  <c r="E7" i="22"/>
  <c r="E50" i="23"/>
  <c r="E48" i="23"/>
  <c r="E47" i="23"/>
  <c r="E46" i="23"/>
  <c r="E45" i="23"/>
  <c r="E44" i="23"/>
  <c r="E43" i="23"/>
  <c r="E42" i="23"/>
  <c r="E40" i="23"/>
  <c r="E39" i="23"/>
  <c r="E38" i="23"/>
  <c r="E37" i="23"/>
  <c r="E36" i="23"/>
  <c r="E35" i="23"/>
  <c r="E34" i="23"/>
  <c r="E33" i="23"/>
  <c r="E32" i="23"/>
  <c r="E31" i="23"/>
  <c r="E29" i="23"/>
  <c r="E28" i="23"/>
  <c r="E26" i="23"/>
  <c r="E25" i="23"/>
  <c r="E24" i="23"/>
  <c r="E23" i="23"/>
  <c r="E21" i="23"/>
  <c r="E19" i="23"/>
  <c r="E18" i="23"/>
  <c r="E17" i="23"/>
  <c r="E16" i="23"/>
  <c r="E14" i="23"/>
  <c r="E13" i="23"/>
  <c r="E12" i="23"/>
  <c r="E10" i="23"/>
  <c r="E9" i="23"/>
  <c r="E8" i="23"/>
  <c r="E7" i="23"/>
  <c r="E50" i="24"/>
  <c r="E48" i="24"/>
  <c r="E47" i="24"/>
  <c r="E46" i="24"/>
  <c r="E45" i="24"/>
  <c r="E44" i="24"/>
  <c r="E43" i="24"/>
  <c r="E42" i="24"/>
  <c r="E40" i="24"/>
  <c r="E39" i="24"/>
  <c r="E38" i="24"/>
  <c r="E37" i="24"/>
  <c r="E36" i="24"/>
  <c r="E35" i="24"/>
  <c r="E34" i="24"/>
  <c r="E33" i="24"/>
  <c r="E32" i="24"/>
  <c r="E31" i="24"/>
  <c r="E29" i="24"/>
  <c r="E28" i="24"/>
  <c r="E26" i="24"/>
  <c r="E25" i="24"/>
  <c r="E24" i="24"/>
  <c r="E23" i="24"/>
  <c r="E21" i="24"/>
  <c r="E19" i="24"/>
  <c r="E18" i="24"/>
  <c r="E17" i="24"/>
  <c r="E16" i="24"/>
  <c r="E14" i="24"/>
  <c r="E13" i="24"/>
  <c r="E12" i="24"/>
  <c r="E10" i="24"/>
  <c r="E9" i="24"/>
  <c r="E8" i="24"/>
  <c r="E7" i="24"/>
  <c r="E50" i="25"/>
  <c r="E48" i="25"/>
  <c r="E47" i="25"/>
  <c r="E46" i="25"/>
  <c r="E45" i="25"/>
  <c r="E44" i="25"/>
  <c r="E43" i="25"/>
  <c r="E42" i="25"/>
  <c r="E40" i="25"/>
  <c r="E39" i="25"/>
  <c r="E38" i="25"/>
  <c r="E37" i="25"/>
  <c r="E36" i="25"/>
  <c r="E35" i="25"/>
  <c r="E34" i="25"/>
  <c r="E33" i="25"/>
  <c r="E32" i="25"/>
  <c r="E31" i="25"/>
  <c r="E29" i="25"/>
  <c r="E28" i="25"/>
  <c r="E26" i="25"/>
  <c r="E25" i="25"/>
  <c r="E24" i="25"/>
  <c r="E23" i="25"/>
  <c r="E21" i="25"/>
  <c r="E19" i="25"/>
  <c r="E18" i="25"/>
  <c r="E17" i="25"/>
  <c r="E16" i="25"/>
  <c r="E14" i="25"/>
  <c r="E13" i="25"/>
  <c r="E12" i="25"/>
  <c r="E10" i="25"/>
  <c r="E9" i="25"/>
  <c r="E8" i="25"/>
  <c r="E7" i="25"/>
  <c r="E50" i="26"/>
  <c r="E48" i="26"/>
  <c r="E47" i="26"/>
  <c r="E46" i="26"/>
  <c r="E45" i="26"/>
  <c r="E44" i="26"/>
  <c r="E43" i="26"/>
  <c r="E42" i="26"/>
  <c r="E40" i="26"/>
  <c r="E39" i="26"/>
  <c r="E38" i="26"/>
  <c r="E37" i="26"/>
  <c r="E36" i="26"/>
  <c r="E35" i="26"/>
  <c r="E34" i="26"/>
  <c r="E33" i="26"/>
  <c r="E32" i="26"/>
  <c r="E31" i="26"/>
  <c r="E29" i="26"/>
  <c r="E28" i="26"/>
  <c r="E26" i="26"/>
  <c r="E25" i="26"/>
  <c r="E24" i="26"/>
  <c r="E23" i="26"/>
  <c r="E21" i="26"/>
  <c r="E19" i="26"/>
  <c r="E18" i="26"/>
  <c r="E17" i="26"/>
  <c r="E16" i="26"/>
  <c r="E14" i="26"/>
  <c r="E13" i="26"/>
  <c r="E12" i="26"/>
  <c r="E10" i="26"/>
  <c r="E9" i="26"/>
  <c r="E7" i="26"/>
  <c r="E50" i="27"/>
  <c r="E48" i="27"/>
  <c r="E47" i="27"/>
  <c r="E46" i="27"/>
  <c r="E45" i="27"/>
  <c r="E44" i="27"/>
  <c r="E43" i="27"/>
  <c r="E42" i="27"/>
  <c r="E40" i="27"/>
  <c r="E39" i="27"/>
  <c r="E38" i="27"/>
  <c r="E37" i="27"/>
  <c r="E36" i="27"/>
  <c r="E35" i="27"/>
  <c r="E34" i="27"/>
  <c r="E33" i="27"/>
  <c r="E32" i="27"/>
  <c r="E31" i="27"/>
  <c r="E29" i="27"/>
  <c r="E28" i="27"/>
  <c r="E26" i="27"/>
  <c r="E25" i="27"/>
  <c r="E24" i="27"/>
  <c r="E23" i="27"/>
  <c r="E21" i="27"/>
  <c r="E19" i="27"/>
  <c r="E18" i="27"/>
  <c r="E17" i="27"/>
  <c r="E16" i="27"/>
  <c r="E14" i="27"/>
  <c r="E13" i="27"/>
  <c r="E12" i="27"/>
  <c r="E10" i="27"/>
  <c r="E9" i="27"/>
  <c r="E8" i="27"/>
  <c r="E7" i="27"/>
  <c r="E50" i="28"/>
  <c r="E48" i="28"/>
  <c r="E47" i="28"/>
  <c r="E46" i="28"/>
  <c r="E45" i="28"/>
  <c r="E44" i="28"/>
  <c r="E43" i="28"/>
  <c r="E42" i="28"/>
  <c r="E40" i="28"/>
  <c r="E39" i="28"/>
  <c r="E38" i="28"/>
  <c r="E37" i="28"/>
  <c r="E36" i="28"/>
  <c r="E35" i="28"/>
  <c r="E34" i="28"/>
  <c r="E33" i="28"/>
  <c r="E32" i="28"/>
  <c r="E31" i="28"/>
  <c r="E29" i="28"/>
  <c r="E28" i="28"/>
  <c r="E26" i="28"/>
  <c r="E25" i="28"/>
  <c r="E24" i="28"/>
  <c r="E23" i="28"/>
  <c r="E21" i="28"/>
  <c r="E19" i="28"/>
  <c r="E18" i="28"/>
  <c r="E17" i="28"/>
  <c r="E16" i="28"/>
  <c r="E14" i="28"/>
  <c r="E13" i="28"/>
  <c r="E12" i="28"/>
  <c r="E10" i="28"/>
  <c r="E9" i="28"/>
  <c r="E8" i="28"/>
  <c r="E7" i="28"/>
  <c r="E6" i="1"/>
  <c r="E6" i="2"/>
  <c r="E6" i="3"/>
  <c r="E6" i="4"/>
  <c r="E6" i="6"/>
  <c r="E6" i="7"/>
  <c r="E6" i="8"/>
  <c r="E6" i="9"/>
  <c r="E6" i="10"/>
  <c r="E6" i="11"/>
  <c r="E6" i="12"/>
  <c r="E6" i="14"/>
  <c r="E6" i="15"/>
  <c r="E6" i="16"/>
  <c r="E6" i="17"/>
  <c r="E6" i="18"/>
  <c r="E6" i="19"/>
  <c r="E6" i="20"/>
  <c r="E6" i="21"/>
  <c r="E6" i="22"/>
  <c r="E6" i="23"/>
  <c r="E6" i="24"/>
  <c r="E6" i="25"/>
  <c r="E6" i="26"/>
  <c r="E6" i="27"/>
  <c r="E6" i="28"/>
  <c r="E65" i="21" l="1"/>
  <c r="B67" i="23"/>
  <c r="E67" i="23" s="1"/>
  <c r="C67" i="23"/>
  <c r="D67" i="26"/>
  <c r="E66" i="21"/>
  <c r="F66" i="10"/>
  <c r="E65" i="24"/>
  <c r="E65" i="8"/>
  <c r="B67" i="20"/>
  <c r="F65" i="26"/>
  <c r="F66" i="23"/>
  <c r="F65" i="14"/>
  <c r="E66" i="10"/>
  <c r="C67" i="8"/>
  <c r="E67" i="4"/>
  <c r="E65" i="23"/>
  <c r="F65" i="19"/>
  <c r="E65" i="7"/>
  <c r="B67" i="17"/>
  <c r="D67" i="18"/>
  <c r="C67" i="21"/>
  <c r="F66" i="18"/>
  <c r="D67" i="7"/>
  <c r="D67" i="1"/>
  <c r="B67" i="22"/>
  <c r="E67" i="22" s="1"/>
  <c r="E65" i="9"/>
  <c r="E65" i="18"/>
  <c r="B67" i="14"/>
  <c r="E67" i="18"/>
  <c r="F65" i="16"/>
  <c r="F65" i="6"/>
  <c r="B67" i="12"/>
  <c r="D67" i="25"/>
  <c r="E66" i="20"/>
  <c r="F66" i="3"/>
  <c r="E65" i="6"/>
  <c r="E67" i="10"/>
  <c r="C67" i="25"/>
  <c r="F65" i="20"/>
  <c r="C67" i="10"/>
  <c r="E66" i="24"/>
  <c r="B67" i="28"/>
  <c r="E67" i="28" s="1"/>
  <c r="B67" i="16"/>
  <c r="E67" i="16" s="1"/>
  <c r="E65" i="2"/>
  <c r="F65" i="11"/>
  <c r="B67" i="6"/>
  <c r="D67" i="2"/>
  <c r="B67" i="27"/>
  <c r="B67" i="26"/>
  <c r="C67" i="24"/>
  <c r="F66" i="26"/>
  <c r="F66" i="2"/>
  <c r="E65" i="26"/>
  <c r="E65" i="14"/>
  <c r="F65" i="28"/>
  <c r="E67" i="21"/>
  <c r="E67" i="8"/>
  <c r="E67" i="6"/>
  <c r="E67" i="25"/>
  <c r="B67" i="11"/>
  <c r="E67" i="11" s="1"/>
  <c r="C67" i="17"/>
  <c r="E65" i="27"/>
  <c r="E65" i="15"/>
  <c r="F65" i="8"/>
  <c r="F65" i="4"/>
  <c r="B67" i="9"/>
  <c r="D67" i="28"/>
  <c r="D67" i="16"/>
  <c r="C67" i="9"/>
  <c r="C67" i="2"/>
  <c r="E65" i="28"/>
  <c r="E65" i="22"/>
  <c r="E65" i="16"/>
  <c r="F65" i="22"/>
  <c r="E66" i="6"/>
  <c r="F65" i="21"/>
  <c r="E66" i="4"/>
  <c r="E66" i="1"/>
  <c r="E66" i="18"/>
  <c r="F66" i="1"/>
  <c r="D67" i="15"/>
  <c r="B67" i="19"/>
  <c r="E67" i="19" s="1"/>
  <c r="E67" i="27"/>
  <c r="E67" i="15"/>
  <c r="E65" i="1"/>
  <c r="E65" i="10"/>
  <c r="C67" i="7"/>
  <c r="F65" i="17"/>
  <c r="E66" i="3"/>
  <c r="C67" i="26"/>
  <c r="C67" i="14"/>
  <c r="B67" i="2"/>
  <c r="C67" i="3"/>
  <c r="E65" i="3"/>
  <c r="C67" i="20"/>
  <c r="B67" i="1"/>
  <c r="E67" i="1" s="1"/>
  <c r="D67" i="11"/>
  <c r="E67" i="24" l="1"/>
  <c r="E67" i="20"/>
  <c r="E67" i="7"/>
  <c r="E67" i="17"/>
  <c r="E67" i="26"/>
  <c r="E67" i="9"/>
  <c r="E67" i="3"/>
  <c r="E67" i="2"/>
  <c r="E67" i="14"/>
  <c r="C16" i="12" l="1"/>
  <c r="C66" i="12" s="1"/>
  <c r="C20" i="1"/>
  <c r="D20" i="1"/>
  <c r="C20" i="2"/>
  <c r="D20" i="2"/>
  <c r="C20" i="4"/>
  <c r="D20" i="4"/>
  <c r="C20" i="6"/>
  <c r="D20" i="6"/>
  <c r="C20" i="7"/>
  <c r="D20" i="7"/>
  <c r="C20" i="8"/>
  <c r="D20" i="8"/>
  <c r="C20" i="9"/>
  <c r="D20" i="9"/>
  <c r="C20" i="10"/>
  <c r="D20" i="10"/>
  <c r="C20" i="11"/>
  <c r="D20" i="11"/>
  <c r="D20" i="12"/>
  <c r="C20" i="14"/>
  <c r="D20" i="14"/>
  <c r="C20" i="15"/>
  <c r="D20" i="15"/>
  <c r="C20" i="16"/>
  <c r="D20" i="16"/>
  <c r="C20" i="17"/>
  <c r="D20" i="17"/>
  <c r="C20" i="18"/>
  <c r="D20" i="18"/>
  <c r="C20" i="19"/>
  <c r="D20" i="19"/>
  <c r="C20" i="20"/>
  <c r="D20" i="20"/>
  <c r="C20" i="21"/>
  <c r="D20" i="21"/>
  <c r="C20" i="22"/>
  <c r="D20" i="22"/>
  <c r="C20" i="23"/>
  <c r="D20" i="23"/>
  <c r="C20" i="24"/>
  <c r="D20" i="24"/>
  <c r="C20" i="25"/>
  <c r="D20" i="25"/>
  <c r="C20" i="26"/>
  <c r="D20" i="26"/>
  <c r="C20" i="27"/>
  <c r="D20" i="27"/>
  <c r="C20" i="28"/>
  <c r="D20" i="28"/>
  <c r="B20" i="1"/>
  <c r="E20" i="1" s="1"/>
  <c r="B20" i="2"/>
  <c r="B20" i="4"/>
  <c r="B20" i="6"/>
  <c r="E20" i="6" s="1"/>
  <c r="B20" i="7"/>
  <c r="B20" i="8"/>
  <c r="E20" i="8" s="1"/>
  <c r="B20" i="9"/>
  <c r="B20" i="10"/>
  <c r="B20" i="11"/>
  <c r="B20" i="12"/>
  <c r="B20" i="14"/>
  <c r="B20" i="15"/>
  <c r="B20" i="16"/>
  <c r="E20" i="16" s="1"/>
  <c r="B20" i="17"/>
  <c r="E20" i="17" s="1"/>
  <c r="B20" i="18"/>
  <c r="B20" i="19"/>
  <c r="B20" i="20"/>
  <c r="E20" i="20" s="1"/>
  <c r="B20" i="21"/>
  <c r="B20" i="22"/>
  <c r="B20" i="23"/>
  <c r="B20" i="24"/>
  <c r="B20" i="25"/>
  <c r="B20" i="26"/>
  <c r="B20" i="27"/>
  <c r="B20" i="28"/>
  <c r="E20" i="28" s="1"/>
  <c r="F20" i="25" l="1"/>
  <c r="E20" i="14"/>
  <c r="E20" i="26"/>
  <c r="F20" i="9"/>
  <c r="F20" i="1"/>
  <c r="E20" i="23"/>
  <c r="E66" i="12"/>
  <c r="F66" i="12"/>
  <c r="C67" i="12"/>
  <c r="E20" i="22"/>
  <c r="E20" i="9"/>
  <c r="F20" i="21"/>
  <c r="F20" i="15"/>
  <c r="F20" i="19"/>
  <c r="F20" i="7"/>
  <c r="E20" i="21"/>
  <c r="E20" i="7"/>
  <c r="F20" i="6"/>
  <c r="E20" i="27"/>
  <c r="E20" i="15"/>
  <c r="F20" i="2"/>
  <c r="F20" i="8"/>
  <c r="F20" i="24"/>
  <c r="F20" i="27"/>
  <c r="F20" i="18"/>
  <c r="E20" i="19"/>
  <c r="E20" i="4"/>
  <c r="F20" i="26"/>
  <c r="F20" i="20"/>
  <c r="F20" i="14"/>
  <c r="E20" i="25"/>
  <c r="E20" i="18"/>
  <c r="E20" i="2"/>
  <c r="F20" i="4"/>
  <c r="F20" i="10"/>
  <c r="E20" i="24"/>
  <c r="E20" i="11"/>
  <c r="F20" i="23"/>
  <c r="F20" i="17"/>
  <c r="F20" i="11"/>
  <c r="E20" i="10"/>
  <c r="F20" i="28"/>
  <c r="F20" i="22"/>
  <c r="F20" i="16"/>
  <c r="F16" i="12"/>
  <c r="E16" i="12"/>
  <c r="C20" i="12"/>
  <c r="F20" i="12" s="1"/>
  <c r="E67" i="12" l="1"/>
  <c r="E20" i="12"/>
  <c r="B40" i="22" l="1"/>
  <c r="E40" i="22" s="1"/>
  <c r="B28" i="22"/>
  <c r="E28" i="22" s="1"/>
  <c r="D40" i="11"/>
  <c r="F40" i="11" s="1"/>
  <c r="D28" i="11"/>
  <c r="F28" i="11" s="1"/>
  <c r="C28" i="4"/>
  <c r="C29" i="4"/>
  <c r="B40" i="19"/>
  <c r="E40" i="19" s="1"/>
  <c r="B28" i="19"/>
  <c r="E28" i="19" s="1"/>
  <c r="D40" i="9"/>
  <c r="D28" i="9"/>
  <c r="C40" i="9"/>
  <c r="C28" i="9"/>
  <c r="D40" i="4"/>
  <c r="D28" i="4"/>
  <c r="C40" i="4"/>
  <c r="E28" i="9" l="1"/>
  <c r="F28" i="9"/>
  <c r="E40" i="9"/>
  <c r="F40" i="9"/>
  <c r="E28" i="4"/>
  <c r="F28" i="4"/>
  <c r="E40" i="4"/>
  <c r="F40" i="4"/>
  <c r="F29" i="4"/>
  <c r="E29" i="4"/>
  <c r="B11" i="27"/>
  <c r="C8" i="26"/>
  <c r="D10" i="21"/>
  <c r="C10" i="21"/>
  <c r="C11" i="26" l="1"/>
  <c r="F8" i="26"/>
  <c r="E8" i="26"/>
  <c r="E10" i="21"/>
  <c r="F10" i="21"/>
  <c r="D62" i="28"/>
  <c r="C62" i="28"/>
  <c r="B62" i="28"/>
  <c r="D61" i="28"/>
  <c r="C61" i="28"/>
  <c r="B61" i="28"/>
  <c r="D60" i="28"/>
  <c r="C60" i="28"/>
  <c r="F60" i="28" s="1"/>
  <c r="B60" i="28"/>
  <c r="D59" i="28"/>
  <c r="C59" i="28"/>
  <c r="B59" i="28"/>
  <c r="D57" i="28"/>
  <c r="C57" i="28"/>
  <c r="B57" i="28"/>
  <c r="D52" i="28"/>
  <c r="C52" i="28"/>
  <c r="B52" i="28"/>
  <c r="D30" i="28"/>
  <c r="D41" i="28" s="1"/>
  <c r="C30" i="28"/>
  <c r="B30" i="28"/>
  <c r="D27" i="28"/>
  <c r="D56" i="28" s="1"/>
  <c r="C27" i="28"/>
  <c r="B27" i="28"/>
  <c r="D15" i="28"/>
  <c r="D55" i="28" s="1"/>
  <c r="C15" i="28"/>
  <c r="B15" i="28"/>
  <c r="D11" i="28"/>
  <c r="D51" i="28" s="1"/>
  <c r="C11" i="28"/>
  <c r="B11" i="28"/>
  <c r="D62" i="27"/>
  <c r="C62" i="27"/>
  <c r="F62" i="27" s="1"/>
  <c r="B62" i="27"/>
  <c r="D61" i="27"/>
  <c r="C61" i="27"/>
  <c r="B61" i="27"/>
  <c r="E61" i="27" s="1"/>
  <c r="D60" i="27"/>
  <c r="C60" i="27"/>
  <c r="B60" i="27"/>
  <c r="D59" i="27"/>
  <c r="C59" i="27"/>
  <c r="B59" i="27"/>
  <c r="D57" i="27"/>
  <c r="C57" i="27"/>
  <c r="F57" i="27" s="1"/>
  <c r="B57" i="27"/>
  <c r="D52" i="27"/>
  <c r="C52" i="27"/>
  <c r="B52" i="27"/>
  <c r="E52" i="27" s="1"/>
  <c r="D30" i="27"/>
  <c r="D41" i="27" s="1"/>
  <c r="D53" i="27" s="1"/>
  <c r="C30" i="27"/>
  <c r="B30" i="27"/>
  <c r="D27" i="27"/>
  <c r="D56" i="27" s="1"/>
  <c r="C27" i="27"/>
  <c r="B27" i="27"/>
  <c r="D15" i="27"/>
  <c r="D55" i="27" s="1"/>
  <c r="C15" i="27"/>
  <c r="B15" i="27"/>
  <c r="D11" i="27"/>
  <c r="C11" i="27"/>
  <c r="B51" i="27"/>
  <c r="D62" i="26"/>
  <c r="C62" i="26"/>
  <c r="B62" i="26"/>
  <c r="D61" i="26"/>
  <c r="C61" i="26"/>
  <c r="B61" i="26"/>
  <c r="D60" i="26"/>
  <c r="C60" i="26"/>
  <c r="F60" i="26" s="1"/>
  <c r="B60" i="26"/>
  <c r="D59" i="26"/>
  <c r="C59" i="26"/>
  <c r="B59" i="26"/>
  <c r="E59" i="26" s="1"/>
  <c r="D57" i="26"/>
  <c r="C57" i="26"/>
  <c r="B57" i="26"/>
  <c r="D52" i="26"/>
  <c r="C52" i="26"/>
  <c r="B52" i="26"/>
  <c r="D30" i="26"/>
  <c r="D41" i="26" s="1"/>
  <c r="D53" i="26" s="1"/>
  <c r="C30" i="26"/>
  <c r="B30" i="26"/>
  <c r="D27" i="26"/>
  <c r="D56" i="26" s="1"/>
  <c r="C27" i="26"/>
  <c r="B27" i="26"/>
  <c r="D15" i="26"/>
  <c r="D55" i="26" s="1"/>
  <c r="C15" i="26"/>
  <c r="B15" i="26"/>
  <c r="D11" i="26"/>
  <c r="D51" i="26" s="1"/>
  <c r="C51" i="26"/>
  <c r="B11" i="26"/>
  <c r="D62" i="25"/>
  <c r="C62" i="25"/>
  <c r="F62" i="25" s="1"/>
  <c r="B62" i="25"/>
  <c r="D61" i="25"/>
  <c r="C61" i="25"/>
  <c r="B61" i="25"/>
  <c r="E61" i="25" s="1"/>
  <c r="D60" i="25"/>
  <c r="C60" i="25"/>
  <c r="B60" i="25"/>
  <c r="D59" i="25"/>
  <c r="C59" i="25"/>
  <c r="B59" i="25"/>
  <c r="D57" i="25"/>
  <c r="C57" i="25"/>
  <c r="B57" i="25"/>
  <c r="D52" i="25"/>
  <c r="C52" i="25"/>
  <c r="B52" i="25"/>
  <c r="E52" i="25" s="1"/>
  <c r="D30" i="25"/>
  <c r="C30" i="25"/>
  <c r="B30" i="25"/>
  <c r="D27" i="25"/>
  <c r="D56" i="25" s="1"/>
  <c r="C27" i="25"/>
  <c r="B27" i="25"/>
  <c r="D15" i="25"/>
  <c r="D55" i="25" s="1"/>
  <c r="C15" i="25"/>
  <c r="B15" i="25"/>
  <c r="D11" i="25"/>
  <c r="C11" i="25"/>
  <c r="B11" i="25"/>
  <c r="D62" i="24"/>
  <c r="C62" i="24"/>
  <c r="B62" i="24"/>
  <c r="D61" i="24"/>
  <c r="C61" i="24"/>
  <c r="B61" i="24"/>
  <c r="D60" i="24"/>
  <c r="C60" i="24"/>
  <c r="F60" i="24" s="1"/>
  <c r="B60" i="24"/>
  <c r="D59" i="24"/>
  <c r="C59" i="24"/>
  <c r="B59" i="24"/>
  <c r="E59" i="24" s="1"/>
  <c r="D57" i="24"/>
  <c r="C57" i="24"/>
  <c r="B57" i="24"/>
  <c r="D52" i="24"/>
  <c r="C52" i="24"/>
  <c r="B52" i="24"/>
  <c r="D30" i="24"/>
  <c r="D41" i="24" s="1"/>
  <c r="D53" i="24" s="1"/>
  <c r="C30" i="24"/>
  <c r="F30" i="24" s="1"/>
  <c r="B30" i="24"/>
  <c r="D27" i="24"/>
  <c r="D56" i="24" s="1"/>
  <c r="C27" i="24"/>
  <c r="B27" i="24"/>
  <c r="D15" i="24"/>
  <c r="C15" i="24"/>
  <c r="B15" i="24"/>
  <c r="D11" i="24"/>
  <c r="D51" i="24" s="1"/>
  <c r="C11" i="24"/>
  <c r="B11" i="24"/>
  <c r="D62" i="23"/>
  <c r="C62" i="23"/>
  <c r="B62" i="23"/>
  <c r="D61" i="23"/>
  <c r="C61" i="23"/>
  <c r="B61" i="23"/>
  <c r="E61" i="23" s="1"/>
  <c r="D60" i="23"/>
  <c r="C60" i="23"/>
  <c r="B60" i="23"/>
  <c r="D59" i="23"/>
  <c r="C59" i="23"/>
  <c r="B59" i="23"/>
  <c r="D57" i="23"/>
  <c r="C57" i="23"/>
  <c r="F57" i="23" s="1"/>
  <c r="B57" i="23"/>
  <c r="D52" i="23"/>
  <c r="C52" i="23"/>
  <c r="B52" i="23"/>
  <c r="D30" i="23"/>
  <c r="D41" i="23" s="1"/>
  <c r="C30" i="23"/>
  <c r="B30" i="23"/>
  <c r="D27" i="23"/>
  <c r="D56" i="23" s="1"/>
  <c r="C27" i="23"/>
  <c r="B27" i="23"/>
  <c r="D15" i="23"/>
  <c r="D55" i="23" s="1"/>
  <c r="C15" i="23"/>
  <c r="B15" i="23"/>
  <c r="D11" i="23"/>
  <c r="D51" i="23" s="1"/>
  <c r="C11" i="23"/>
  <c r="B11" i="23"/>
  <c r="D62" i="22"/>
  <c r="C62" i="22"/>
  <c r="B62" i="22"/>
  <c r="D61" i="22"/>
  <c r="C61" i="22"/>
  <c r="B61" i="22"/>
  <c r="D60" i="22"/>
  <c r="C60" i="22"/>
  <c r="F60" i="22" s="1"/>
  <c r="B60" i="22"/>
  <c r="D59" i="22"/>
  <c r="C59" i="22"/>
  <c r="B59" i="22"/>
  <c r="E59" i="22" s="1"/>
  <c r="D57" i="22"/>
  <c r="C57" i="22"/>
  <c r="B57" i="22"/>
  <c r="D52" i="22"/>
  <c r="C52" i="22"/>
  <c r="B52" i="22"/>
  <c r="D30" i="22"/>
  <c r="D41" i="22" s="1"/>
  <c r="C30" i="22"/>
  <c r="B30" i="22"/>
  <c r="D27" i="22"/>
  <c r="D56" i="22" s="1"/>
  <c r="C27" i="22"/>
  <c r="B27" i="22"/>
  <c r="D15" i="22"/>
  <c r="C15" i="22"/>
  <c r="B15" i="22"/>
  <c r="D11" i="22"/>
  <c r="D51" i="22" s="1"/>
  <c r="C11" i="22"/>
  <c r="B11" i="22"/>
  <c r="D62" i="21"/>
  <c r="C62" i="21"/>
  <c r="F62" i="21" s="1"/>
  <c r="B62" i="21"/>
  <c r="D61" i="21"/>
  <c r="C61" i="21"/>
  <c r="B61" i="21"/>
  <c r="E61" i="21" s="1"/>
  <c r="D60" i="21"/>
  <c r="C60" i="21"/>
  <c r="B60" i="21"/>
  <c r="D59" i="21"/>
  <c r="C59" i="21"/>
  <c r="B59" i="21"/>
  <c r="D57" i="21"/>
  <c r="C57" i="21"/>
  <c r="F57" i="21" s="1"/>
  <c r="B57" i="21"/>
  <c r="D52" i="21"/>
  <c r="C52" i="21"/>
  <c r="B52" i="21"/>
  <c r="E52" i="21" s="1"/>
  <c r="D30" i="21"/>
  <c r="D41" i="21" s="1"/>
  <c r="C30" i="21"/>
  <c r="B30" i="21"/>
  <c r="D27" i="21"/>
  <c r="D56" i="21" s="1"/>
  <c r="C27" i="21"/>
  <c r="B27" i="21"/>
  <c r="D15" i="21"/>
  <c r="C15" i="21"/>
  <c r="F15" i="21" s="1"/>
  <c r="B15" i="21"/>
  <c r="D11" i="21"/>
  <c r="D51" i="21" s="1"/>
  <c r="C11" i="21"/>
  <c r="B11" i="21"/>
  <c r="D62" i="20"/>
  <c r="C62" i="20"/>
  <c r="B62" i="20"/>
  <c r="D61" i="20"/>
  <c r="C61" i="20"/>
  <c r="F61" i="20" s="1"/>
  <c r="B61" i="20"/>
  <c r="D60" i="20"/>
  <c r="C60" i="20"/>
  <c r="F60" i="20" s="1"/>
  <c r="B60" i="20"/>
  <c r="D59" i="20"/>
  <c r="C59" i="20"/>
  <c r="B59" i="20"/>
  <c r="E59" i="20" s="1"/>
  <c r="D57" i="20"/>
  <c r="C57" i="20"/>
  <c r="B57" i="20"/>
  <c r="D52" i="20"/>
  <c r="C52" i="20"/>
  <c r="F52" i="20" s="1"/>
  <c r="B52" i="20"/>
  <c r="D30" i="20"/>
  <c r="D41" i="20" s="1"/>
  <c r="C30" i="20"/>
  <c r="B30" i="20"/>
  <c r="D27" i="20"/>
  <c r="C27" i="20"/>
  <c r="B27" i="20"/>
  <c r="D15" i="20"/>
  <c r="D55" i="20" s="1"/>
  <c r="C15" i="20"/>
  <c r="B15" i="20"/>
  <c r="D11" i="20"/>
  <c r="D51" i="20" s="1"/>
  <c r="C11" i="20"/>
  <c r="B11" i="20"/>
  <c r="D62" i="19"/>
  <c r="C62" i="19"/>
  <c r="F62" i="19" s="1"/>
  <c r="B62" i="19"/>
  <c r="D61" i="19"/>
  <c r="C61" i="19"/>
  <c r="B61" i="19"/>
  <c r="E61" i="19" s="1"/>
  <c r="D60" i="19"/>
  <c r="C60" i="19"/>
  <c r="B60" i="19"/>
  <c r="D59" i="19"/>
  <c r="C59" i="19"/>
  <c r="F59" i="19" s="1"/>
  <c r="B59" i="19"/>
  <c r="D57" i="19"/>
  <c r="C57" i="19"/>
  <c r="F57" i="19" s="1"/>
  <c r="B57" i="19"/>
  <c r="D52" i="19"/>
  <c r="C52" i="19"/>
  <c r="B52" i="19"/>
  <c r="E52" i="19" s="1"/>
  <c r="D30" i="19"/>
  <c r="D41" i="19" s="1"/>
  <c r="C30" i="19"/>
  <c r="B30" i="19"/>
  <c r="D27" i="19"/>
  <c r="D56" i="19" s="1"/>
  <c r="C27" i="19"/>
  <c r="B27" i="19"/>
  <c r="D15" i="19"/>
  <c r="D55" i="19" s="1"/>
  <c r="C15" i="19"/>
  <c r="B15" i="19"/>
  <c r="D11" i="19"/>
  <c r="D51" i="19" s="1"/>
  <c r="C11" i="19"/>
  <c r="B11" i="19"/>
  <c r="F52" i="25" l="1"/>
  <c r="F61" i="25"/>
  <c r="F59" i="26"/>
  <c r="F52" i="27"/>
  <c r="F61" i="27"/>
  <c r="F59" i="28"/>
  <c r="E59" i="19"/>
  <c r="E52" i="20"/>
  <c r="E59" i="21"/>
  <c r="E52" i="22"/>
  <c r="E61" i="22"/>
  <c r="E27" i="23"/>
  <c r="E59" i="23"/>
  <c r="E52" i="24"/>
  <c r="E61" i="24"/>
  <c r="E59" i="25"/>
  <c r="E52" i="26"/>
  <c r="E61" i="26"/>
  <c r="E59" i="27"/>
  <c r="E52" i="28"/>
  <c r="E61" i="28"/>
  <c r="E52" i="23"/>
  <c r="E59" i="28"/>
  <c r="E57" i="26"/>
  <c r="E62" i="26"/>
  <c r="E60" i="27"/>
  <c r="E62" i="28"/>
  <c r="B56" i="26"/>
  <c r="E27" i="26"/>
  <c r="B56" i="28"/>
  <c r="E27" i="28"/>
  <c r="C55" i="19"/>
  <c r="F55" i="19" s="1"/>
  <c r="F15" i="19"/>
  <c r="B51" i="19"/>
  <c r="E11" i="19"/>
  <c r="B51" i="21"/>
  <c r="E11" i="21"/>
  <c r="B56" i="22"/>
  <c r="E27" i="22"/>
  <c r="B51" i="23"/>
  <c r="E11" i="23"/>
  <c r="B56" i="24"/>
  <c r="E27" i="24"/>
  <c r="B51" i="25"/>
  <c r="E11" i="25"/>
  <c r="C51" i="19"/>
  <c r="F51" i="19" s="1"/>
  <c r="F11" i="19"/>
  <c r="F52" i="19"/>
  <c r="F61" i="19"/>
  <c r="C56" i="20"/>
  <c r="F27" i="20"/>
  <c r="F59" i="20"/>
  <c r="C51" i="21"/>
  <c r="F51" i="21" s="1"/>
  <c r="F11" i="21"/>
  <c r="F52" i="21"/>
  <c r="F61" i="21"/>
  <c r="F27" i="22"/>
  <c r="F59" i="22"/>
  <c r="F11" i="23"/>
  <c r="F52" i="23"/>
  <c r="F61" i="23"/>
  <c r="C56" i="24"/>
  <c r="F56" i="24" s="1"/>
  <c r="F27" i="24"/>
  <c r="F59" i="24"/>
  <c r="C51" i="25"/>
  <c r="F11" i="25"/>
  <c r="C56" i="26"/>
  <c r="F56" i="26" s="1"/>
  <c r="F27" i="26"/>
  <c r="C51" i="27"/>
  <c r="F11" i="27"/>
  <c r="C56" i="28"/>
  <c r="F56" i="28" s="1"/>
  <c r="F27" i="28"/>
  <c r="B56" i="20"/>
  <c r="E27" i="20"/>
  <c r="B55" i="19"/>
  <c r="E55" i="19" s="1"/>
  <c r="E15" i="19"/>
  <c r="E57" i="19"/>
  <c r="E62" i="19"/>
  <c r="B41" i="20"/>
  <c r="E30" i="20"/>
  <c r="E60" i="20"/>
  <c r="B55" i="21"/>
  <c r="E15" i="21"/>
  <c r="E57" i="21"/>
  <c r="E62" i="21"/>
  <c r="B41" i="22"/>
  <c r="B49" i="22" s="1"/>
  <c r="E49" i="22" s="1"/>
  <c r="E30" i="22"/>
  <c r="E60" i="22"/>
  <c r="B55" i="23"/>
  <c r="E15" i="23"/>
  <c r="E57" i="23"/>
  <c r="E62" i="23"/>
  <c r="B41" i="24"/>
  <c r="E30" i="24"/>
  <c r="E60" i="24"/>
  <c r="B55" i="25"/>
  <c r="E15" i="25"/>
  <c r="E57" i="25"/>
  <c r="E62" i="25"/>
  <c r="B41" i="26"/>
  <c r="B49" i="26" s="1"/>
  <c r="E30" i="26"/>
  <c r="E60" i="26"/>
  <c r="B55" i="27"/>
  <c r="E15" i="27"/>
  <c r="E57" i="27"/>
  <c r="E62" i="27"/>
  <c r="B41" i="28"/>
  <c r="E30" i="28"/>
  <c r="E60" i="28"/>
  <c r="C41" i="28"/>
  <c r="F41" i="28" s="1"/>
  <c r="F30" i="28"/>
  <c r="C55" i="23"/>
  <c r="F55" i="23" s="1"/>
  <c r="F15" i="23"/>
  <c r="F57" i="25"/>
  <c r="B56" i="21"/>
  <c r="E27" i="21"/>
  <c r="B51" i="22"/>
  <c r="E11" i="22"/>
  <c r="B51" i="24"/>
  <c r="E11" i="24"/>
  <c r="B56" i="27"/>
  <c r="E27" i="27"/>
  <c r="C56" i="21"/>
  <c r="F56" i="21" s="1"/>
  <c r="F27" i="21"/>
  <c r="F59" i="21"/>
  <c r="C51" i="22"/>
  <c r="F51" i="22" s="1"/>
  <c r="F11" i="22"/>
  <c r="F52" i="22"/>
  <c r="F61" i="22"/>
  <c r="C56" i="23"/>
  <c r="F56" i="23" s="1"/>
  <c r="F27" i="23"/>
  <c r="F59" i="23"/>
  <c r="C51" i="24"/>
  <c r="F51" i="24" s="1"/>
  <c r="F11" i="24"/>
  <c r="F52" i="24"/>
  <c r="F61" i="24"/>
  <c r="F27" i="25"/>
  <c r="F59" i="25"/>
  <c r="F51" i="26"/>
  <c r="F52" i="26"/>
  <c r="F61" i="26"/>
  <c r="C56" i="27"/>
  <c r="F56" i="27" s="1"/>
  <c r="F27" i="27"/>
  <c r="F59" i="27"/>
  <c r="C51" i="28"/>
  <c r="F51" i="28" s="1"/>
  <c r="F11" i="28"/>
  <c r="F52" i="28"/>
  <c r="F61" i="28"/>
  <c r="B56" i="25"/>
  <c r="E27" i="25"/>
  <c r="C41" i="26"/>
  <c r="F30" i="26"/>
  <c r="C55" i="27"/>
  <c r="F55" i="27" s="1"/>
  <c r="F15" i="27"/>
  <c r="B56" i="19"/>
  <c r="E27" i="19"/>
  <c r="B51" i="20"/>
  <c r="E11" i="20"/>
  <c r="E61" i="20"/>
  <c r="B51" i="28"/>
  <c r="E11" i="28"/>
  <c r="C51" i="20"/>
  <c r="F51" i="20" s="1"/>
  <c r="F11" i="20"/>
  <c r="B41" i="19"/>
  <c r="B49" i="19" s="1"/>
  <c r="E30" i="19"/>
  <c r="E60" i="19"/>
  <c r="B55" i="20"/>
  <c r="E15" i="20"/>
  <c r="E57" i="20"/>
  <c r="E62" i="20"/>
  <c r="B41" i="21"/>
  <c r="E30" i="21"/>
  <c r="E60" i="21"/>
  <c r="B55" i="22"/>
  <c r="E15" i="22"/>
  <c r="E57" i="22"/>
  <c r="E62" i="22"/>
  <c r="B41" i="23"/>
  <c r="B49" i="23" s="1"/>
  <c r="E30" i="23"/>
  <c r="E60" i="23"/>
  <c r="B55" i="24"/>
  <c r="E15" i="24"/>
  <c r="E57" i="24"/>
  <c r="E62" i="24"/>
  <c r="B41" i="25"/>
  <c r="E30" i="25"/>
  <c r="E60" i="25"/>
  <c r="B55" i="26"/>
  <c r="E15" i="26"/>
  <c r="B41" i="27"/>
  <c r="B53" i="27" s="1"/>
  <c r="E30" i="27"/>
  <c r="B55" i="28"/>
  <c r="E15" i="28"/>
  <c r="E57" i="28"/>
  <c r="C41" i="20"/>
  <c r="C49" i="20" s="1"/>
  <c r="F30" i="20"/>
  <c r="F62" i="23"/>
  <c r="B51" i="26"/>
  <c r="E51" i="26" s="1"/>
  <c r="E11" i="26"/>
  <c r="C56" i="19"/>
  <c r="F56" i="19" s="1"/>
  <c r="F27" i="19"/>
  <c r="C41" i="19"/>
  <c r="F41" i="19" s="1"/>
  <c r="F30" i="19"/>
  <c r="F60" i="19"/>
  <c r="C55" i="20"/>
  <c r="F55" i="20" s="1"/>
  <c r="F15" i="20"/>
  <c r="F57" i="20"/>
  <c r="F62" i="20"/>
  <c r="C41" i="21"/>
  <c r="F41" i="21" s="1"/>
  <c r="F30" i="21"/>
  <c r="F60" i="21"/>
  <c r="C55" i="22"/>
  <c r="F15" i="22"/>
  <c r="F57" i="22"/>
  <c r="F62" i="22"/>
  <c r="F30" i="23"/>
  <c r="F60" i="23"/>
  <c r="C55" i="24"/>
  <c r="F15" i="24"/>
  <c r="F57" i="24"/>
  <c r="F62" i="24"/>
  <c r="F30" i="25"/>
  <c r="F60" i="25"/>
  <c r="C55" i="26"/>
  <c r="F55" i="26" s="1"/>
  <c r="F15" i="26"/>
  <c r="F57" i="26"/>
  <c r="F62" i="26"/>
  <c r="F30" i="27"/>
  <c r="F60" i="27"/>
  <c r="F15" i="28"/>
  <c r="F57" i="28"/>
  <c r="F62" i="28"/>
  <c r="F11" i="26"/>
  <c r="C41" i="22"/>
  <c r="F41" i="22" s="1"/>
  <c r="F30" i="22"/>
  <c r="C55" i="25"/>
  <c r="F55" i="25" s="1"/>
  <c r="F15" i="25"/>
  <c r="E11" i="27"/>
  <c r="D49" i="20"/>
  <c r="D22" i="25"/>
  <c r="D49" i="28"/>
  <c r="C41" i="27"/>
  <c r="C41" i="25"/>
  <c r="D41" i="25"/>
  <c r="D49" i="25" s="1"/>
  <c r="C41" i="24"/>
  <c r="D49" i="24"/>
  <c r="B56" i="23"/>
  <c r="C51" i="23"/>
  <c r="F51" i="23" s="1"/>
  <c r="C56" i="22"/>
  <c r="F56" i="22" s="1"/>
  <c r="C49" i="22"/>
  <c r="B49" i="20"/>
  <c r="D56" i="20"/>
  <c r="C53" i="19"/>
  <c r="D22" i="27"/>
  <c r="B22" i="23"/>
  <c r="D22" i="23"/>
  <c r="C22" i="23"/>
  <c r="D22" i="22"/>
  <c r="B22" i="28"/>
  <c r="C22" i="28"/>
  <c r="D53" i="28"/>
  <c r="D54" i="28" s="1"/>
  <c r="D22" i="28"/>
  <c r="C49" i="28"/>
  <c r="C55" i="28"/>
  <c r="F55" i="28" s="1"/>
  <c r="C53" i="28"/>
  <c r="D49" i="27"/>
  <c r="C22" i="27"/>
  <c r="D51" i="27"/>
  <c r="B22" i="27"/>
  <c r="D54" i="26"/>
  <c r="D49" i="26"/>
  <c r="B22" i="26"/>
  <c r="C22" i="26"/>
  <c r="D22" i="26"/>
  <c r="B22" i="25"/>
  <c r="D51" i="25"/>
  <c r="C56" i="25"/>
  <c r="F56" i="25" s="1"/>
  <c r="C22" i="25"/>
  <c r="D54" i="24"/>
  <c r="B49" i="24"/>
  <c r="D55" i="24"/>
  <c r="B22" i="24"/>
  <c r="C22" i="24"/>
  <c r="D22" i="24"/>
  <c r="D53" i="23"/>
  <c r="C41" i="23"/>
  <c r="F41" i="23" s="1"/>
  <c r="D49" i="23"/>
  <c r="D49" i="22"/>
  <c r="D53" i="22"/>
  <c r="D55" i="22"/>
  <c r="B22" i="22"/>
  <c r="C53" i="22"/>
  <c r="F53" i="22" s="1"/>
  <c r="C22" i="22"/>
  <c r="F22" i="22" s="1"/>
  <c r="D53" i="21"/>
  <c r="D54" i="21" s="1"/>
  <c r="D49" i="21"/>
  <c r="C55" i="21"/>
  <c r="D55" i="21"/>
  <c r="B22" i="21"/>
  <c r="C22" i="21"/>
  <c r="D22" i="21"/>
  <c r="B22" i="20"/>
  <c r="C22" i="20"/>
  <c r="D53" i="20"/>
  <c r="D22" i="20"/>
  <c r="D53" i="19"/>
  <c r="D49" i="19"/>
  <c r="B22" i="19"/>
  <c r="C22" i="19"/>
  <c r="D22" i="19"/>
  <c r="C49" i="19" l="1"/>
  <c r="E49" i="19" s="1"/>
  <c r="B49" i="27"/>
  <c r="E55" i="20"/>
  <c r="C49" i="21"/>
  <c r="F22" i="21"/>
  <c r="E22" i="19"/>
  <c r="C53" i="21"/>
  <c r="F53" i="21" s="1"/>
  <c r="F53" i="28"/>
  <c r="E56" i="23"/>
  <c r="E41" i="20"/>
  <c r="F55" i="22"/>
  <c r="E41" i="21"/>
  <c r="E56" i="25"/>
  <c r="E51" i="21"/>
  <c r="F49" i="28"/>
  <c r="E51" i="28"/>
  <c r="E55" i="24"/>
  <c r="F22" i="26"/>
  <c r="F22" i="20"/>
  <c r="E22" i="20"/>
  <c r="E51" i="22"/>
  <c r="E56" i="20"/>
  <c r="E56" i="24"/>
  <c r="E56" i="21"/>
  <c r="E41" i="28"/>
  <c r="F51" i="25"/>
  <c r="E55" i="25"/>
  <c r="F49" i="22"/>
  <c r="F55" i="21"/>
  <c r="F22" i="24"/>
  <c r="B53" i="20"/>
  <c r="B54" i="20" s="1"/>
  <c r="E22" i="23"/>
  <c r="F53" i="19"/>
  <c r="E22" i="26"/>
  <c r="B54" i="27"/>
  <c r="B49" i="21"/>
  <c r="E49" i="21" s="1"/>
  <c r="C53" i="25"/>
  <c r="F41" i="25"/>
  <c r="B49" i="28"/>
  <c r="E49" i="28" s="1"/>
  <c r="E55" i="22"/>
  <c r="B53" i="25"/>
  <c r="E41" i="25"/>
  <c r="C53" i="26"/>
  <c r="F41" i="26"/>
  <c r="E55" i="21"/>
  <c r="E51" i="23"/>
  <c r="C53" i="27"/>
  <c r="F53" i="27" s="1"/>
  <c r="F41" i="27"/>
  <c r="B53" i="24"/>
  <c r="E41" i="24"/>
  <c r="F49" i="20"/>
  <c r="F22" i="19"/>
  <c r="C49" i="26"/>
  <c r="F49" i="26" s="1"/>
  <c r="F56" i="20"/>
  <c r="E56" i="22"/>
  <c r="E22" i="22"/>
  <c r="E55" i="27"/>
  <c r="E49" i="20"/>
  <c r="F49" i="19"/>
  <c r="F22" i="28"/>
  <c r="E51" i="20"/>
  <c r="E56" i="27"/>
  <c r="E55" i="23"/>
  <c r="E22" i="28"/>
  <c r="F55" i="24"/>
  <c r="B53" i="23"/>
  <c r="E41" i="23"/>
  <c r="B53" i="26"/>
  <c r="E41" i="26"/>
  <c r="E51" i="19"/>
  <c r="E56" i="28"/>
  <c r="E22" i="25"/>
  <c r="E22" i="27"/>
  <c r="B53" i="28"/>
  <c r="C53" i="20"/>
  <c r="F41" i="20"/>
  <c r="E56" i="19"/>
  <c r="E51" i="24"/>
  <c r="F51" i="27"/>
  <c r="E51" i="27"/>
  <c r="E22" i="21"/>
  <c r="E41" i="27"/>
  <c r="B53" i="21"/>
  <c r="B49" i="25"/>
  <c r="C53" i="24"/>
  <c r="F41" i="24"/>
  <c r="E55" i="26"/>
  <c r="B53" i="19"/>
  <c r="E41" i="19"/>
  <c r="B53" i="22"/>
  <c r="E41" i="22"/>
  <c r="E51" i="25"/>
  <c r="E22" i="24"/>
  <c r="F22" i="25"/>
  <c r="E55" i="28"/>
  <c r="F22" i="27"/>
  <c r="F22" i="23"/>
  <c r="F49" i="21"/>
  <c r="E56" i="26"/>
  <c r="D53" i="25"/>
  <c r="C49" i="27"/>
  <c r="F49" i="27" s="1"/>
  <c r="C49" i="25"/>
  <c r="F49" i="25" s="1"/>
  <c r="C49" i="24"/>
  <c r="F49" i="24" s="1"/>
  <c r="C49" i="23"/>
  <c r="F49" i="23" s="1"/>
  <c r="D54" i="20"/>
  <c r="D58" i="20" s="1"/>
  <c r="C54" i="19"/>
  <c r="D58" i="28"/>
  <c r="C54" i="28"/>
  <c r="F54" i="28" s="1"/>
  <c r="D54" i="27"/>
  <c r="D58" i="26"/>
  <c r="D58" i="24"/>
  <c r="D54" i="23"/>
  <c r="C53" i="23"/>
  <c r="F53" i="23" s="1"/>
  <c r="D54" i="22"/>
  <c r="C54" i="22"/>
  <c r="F54" i="22" s="1"/>
  <c r="C54" i="21"/>
  <c r="F54" i="21" s="1"/>
  <c r="D58" i="21"/>
  <c r="D54" i="19"/>
  <c r="E49" i="26" l="1"/>
  <c r="E53" i="26"/>
  <c r="C54" i="24"/>
  <c r="F53" i="24"/>
  <c r="B54" i="26"/>
  <c r="C54" i="25"/>
  <c r="F53" i="25"/>
  <c r="E53" i="22"/>
  <c r="B54" i="22"/>
  <c r="E49" i="24"/>
  <c r="C54" i="27"/>
  <c r="B54" i="21"/>
  <c r="E53" i="21"/>
  <c r="B58" i="27"/>
  <c r="E49" i="27"/>
  <c r="F53" i="26"/>
  <c r="C54" i="26"/>
  <c r="E53" i="27"/>
  <c r="C58" i="19"/>
  <c r="F58" i="19" s="1"/>
  <c r="F54" i="19"/>
  <c r="E53" i="19"/>
  <c r="B54" i="19"/>
  <c r="F53" i="20"/>
  <c r="C54" i="20"/>
  <c r="E53" i="23"/>
  <c r="B54" i="23"/>
  <c r="E53" i="25"/>
  <c r="B54" i="25"/>
  <c r="B54" i="28"/>
  <c r="E53" i="28"/>
  <c r="E49" i="25"/>
  <c r="E53" i="24"/>
  <c r="B54" i="24"/>
  <c r="E49" i="23"/>
  <c r="E53" i="20"/>
  <c r="B58" i="20"/>
  <c r="D54" i="25"/>
  <c r="D58" i="25" s="1"/>
  <c r="C58" i="28"/>
  <c r="F58" i="28" s="1"/>
  <c r="D63" i="28"/>
  <c r="D58" i="27"/>
  <c r="D63" i="26"/>
  <c r="D63" i="24"/>
  <c r="C54" i="23"/>
  <c r="F54" i="23" s="1"/>
  <c r="D58" i="23"/>
  <c r="C58" i="22"/>
  <c r="D58" i="22"/>
  <c r="D63" i="21"/>
  <c r="C58" i="21"/>
  <c r="F58" i="21" s="1"/>
  <c r="D63" i="20"/>
  <c r="D58" i="19"/>
  <c r="C63" i="19" l="1"/>
  <c r="B58" i="28"/>
  <c r="E54" i="28"/>
  <c r="C58" i="27"/>
  <c r="E58" i="27" s="1"/>
  <c r="F54" i="27"/>
  <c r="B63" i="27"/>
  <c r="F54" i="24"/>
  <c r="C58" i="24"/>
  <c r="B58" i="21"/>
  <c r="E54" i="21"/>
  <c r="E54" i="23"/>
  <c r="B58" i="23"/>
  <c r="F54" i="26"/>
  <c r="C58" i="26"/>
  <c r="B58" i="25"/>
  <c r="E54" i="25"/>
  <c r="F58" i="22"/>
  <c r="B58" i="24"/>
  <c r="E54" i="24"/>
  <c r="B58" i="22"/>
  <c r="E54" i="22"/>
  <c r="F54" i="20"/>
  <c r="C58" i="20"/>
  <c r="E58" i="20" s="1"/>
  <c r="B58" i="19"/>
  <c r="E54" i="19"/>
  <c r="F54" i="25"/>
  <c r="C58" i="25"/>
  <c r="E54" i="20"/>
  <c r="B63" i="20"/>
  <c r="E54" i="27"/>
  <c r="B58" i="26"/>
  <c r="E54" i="26"/>
  <c r="C63" i="28"/>
  <c r="F63" i="28" s="1"/>
  <c r="D63" i="27"/>
  <c r="D63" i="25"/>
  <c r="D63" i="23"/>
  <c r="C58" i="23"/>
  <c r="F58" i="23" s="1"/>
  <c r="D63" i="22"/>
  <c r="C63" i="22"/>
  <c r="C63" i="21"/>
  <c r="F63" i="21" s="1"/>
  <c r="D63" i="19"/>
  <c r="F63" i="19" l="1"/>
  <c r="F63" i="22"/>
  <c r="B63" i="22"/>
  <c r="E63" i="22" s="1"/>
  <c r="E58" i="22"/>
  <c r="B63" i="21"/>
  <c r="E63" i="21" s="1"/>
  <c r="E58" i="21"/>
  <c r="F58" i="24"/>
  <c r="C63" i="24"/>
  <c r="F63" i="24" s="1"/>
  <c r="B63" i="26"/>
  <c r="E58" i="26"/>
  <c r="B63" i="24"/>
  <c r="E63" i="24" s="1"/>
  <c r="E58" i="24"/>
  <c r="E63" i="27"/>
  <c r="F58" i="25"/>
  <c r="C63" i="25"/>
  <c r="F63" i="25" s="1"/>
  <c r="B63" i="25"/>
  <c r="E63" i="25" s="1"/>
  <c r="E58" i="25"/>
  <c r="F58" i="27"/>
  <c r="C63" i="27"/>
  <c r="F63" i="27" s="1"/>
  <c r="F58" i="26"/>
  <c r="C63" i="26"/>
  <c r="F63" i="26" s="1"/>
  <c r="B63" i="19"/>
  <c r="E63" i="19" s="1"/>
  <c r="E58" i="19"/>
  <c r="B63" i="28"/>
  <c r="E63" i="28" s="1"/>
  <c r="E58" i="28"/>
  <c r="F58" i="20"/>
  <c r="C63" i="20"/>
  <c r="F63" i="20" s="1"/>
  <c r="B63" i="23"/>
  <c r="E63" i="23" s="1"/>
  <c r="E58" i="23"/>
  <c r="C63" i="23"/>
  <c r="F63" i="23" s="1"/>
  <c r="E63" i="20" l="1"/>
  <c r="E63" i="26"/>
  <c r="D8" i="18"/>
  <c r="C8" i="18"/>
  <c r="D62" i="18"/>
  <c r="C62" i="18"/>
  <c r="B62" i="18"/>
  <c r="D61" i="18"/>
  <c r="C61" i="18"/>
  <c r="B61" i="18"/>
  <c r="D60" i="18"/>
  <c r="C60" i="18"/>
  <c r="B60" i="18"/>
  <c r="D59" i="18"/>
  <c r="C59" i="18"/>
  <c r="B59" i="18"/>
  <c r="D57" i="18"/>
  <c r="C57" i="18"/>
  <c r="B57" i="18"/>
  <c r="D52" i="18"/>
  <c r="C52" i="18"/>
  <c r="B52" i="18"/>
  <c r="D30" i="18"/>
  <c r="D41" i="18" s="1"/>
  <c r="D53" i="18" s="1"/>
  <c r="C30" i="18"/>
  <c r="B30" i="18"/>
  <c r="D27" i="18"/>
  <c r="D56" i="18" s="1"/>
  <c r="C27" i="18"/>
  <c r="B27" i="18"/>
  <c r="D15" i="18"/>
  <c r="D55" i="18" s="1"/>
  <c r="C15" i="18"/>
  <c r="B15" i="18"/>
  <c r="D10" i="17"/>
  <c r="C10" i="17"/>
  <c r="B10" i="17"/>
  <c r="D8" i="17"/>
  <c r="F8" i="17" s="1"/>
  <c r="D62" i="17"/>
  <c r="C62" i="17"/>
  <c r="B62" i="17"/>
  <c r="D61" i="17"/>
  <c r="C61" i="17"/>
  <c r="B61" i="17"/>
  <c r="D60" i="17"/>
  <c r="C60" i="17"/>
  <c r="B60" i="17"/>
  <c r="E60" i="17" s="1"/>
  <c r="D59" i="17"/>
  <c r="C59" i="17"/>
  <c r="B59" i="17"/>
  <c r="D57" i="17"/>
  <c r="C57" i="17"/>
  <c r="B57" i="17"/>
  <c r="D52" i="17"/>
  <c r="C52" i="17"/>
  <c r="B52" i="17"/>
  <c r="D30" i="17"/>
  <c r="D41" i="17" s="1"/>
  <c r="D53" i="17" s="1"/>
  <c r="C30" i="17"/>
  <c r="B30" i="17"/>
  <c r="D27" i="17"/>
  <c r="D56" i="17" s="1"/>
  <c r="C27" i="17"/>
  <c r="B27" i="17"/>
  <c r="D15" i="17"/>
  <c r="D55" i="17" s="1"/>
  <c r="C15" i="17"/>
  <c r="B15" i="17"/>
  <c r="D62" i="16"/>
  <c r="C62" i="16"/>
  <c r="B62" i="16"/>
  <c r="D61" i="16"/>
  <c r="C61" i="16"/>
  <c r="B61" i="16"/>
  <c r="E61" i="16" s="1"/>
  <c r="D60" i="16"/>
  <c r="C60" i="16"/>
  <c r="F60" i="16" s="1"/>
  <c r="B60" i="16"/>
  <c r="E60" i="16" s="1"/>
  <c r="D59" i="16"/>
  <c r="C59" i="16"/>
  <c r="B59" i="16"/>
  <c r="D57" i="16"/>
  <c r="C57" i="16"/>
  <c r="B57" i="16"/>
  <c r="D52" i="16"/>
  <c r="C52" i="16"/>
  <c r="B52" i="16"/>
  <c r="D30" i="16"/>
  <c r="C30" i="16"/>
  <c r="B30" i="16"/>
  <c r="D27" i="16"/>
  <c r="C27" i="16"/>
  <c r="B27" i="16"/>
  <c r="D15" i="16"/>
  <c r="C15" i="16"/>
  <c r="B15" i="16"/>
  <c r="D11" i="16"/>
  <c r="C11" i="16"/>
  <c r="B11" i="16"/>
  <c r="D10" i="15"/>
  <c r="B10" i="15"/>
  <c r="D62" i="15"/>
  <c r="C62" i="15"/>
  <c r="F62" i="15" s="1"/>
  <c r="B62" i="15"/>
  <c r="D61" i="15"/>
  <c r="C61" i="15"/>
  <c r="B61" i="15"/>
  <c r="D60" i="15"/>
  <c r="C60" i="15"/>
  <c r="B60" i="15"/>
  <c r="D59" i="15"/>
  <c r="C59" i="15"/>
  <c r="B59" i="15"/>
  <c r="E59" i="15" s="1"/>
  <c r="D57" i="15"/>
  <c r="C57" i="15"/>
  <c r="F57" i="15" s="1"/>
  <c r="B57" i="15"/>
  <c r="D52" i="15"/>
  <c r="C52" i="15"/>
  <c r="B52" i="15"/>
  <c r="D30" i="15"/>
  <c r="D41" i="15" s="1"/>
  <c r="C30" i="15"/>
  <c r="B30" i="15"/>
  <c r="D27" i="15"/>
  <c r="D56" i="15" s="1"/>
  <c r="C27" i="15"/>
  <c r="B27" i="15"/>
  <c r="D15" i="15"/>
  <c r="D55" i="15" s="1"/>
  <c r="C15" i="15"/>
  <c r="B15" i="15"/>
  <c r="C11" i="15"/>
  <c r="C11" i="14"/>
  <c r="D11" i="14"/>
  <c r="D51" i="14" s="1"/>
  <c r="D62" i="14"/>
  <c r="C62" i="14"/>
  <c r="B62" i="14"/>
  <c r="D61" i="14"/>
  <c r="C61" i="14"/>
  <c r="B61" i="14"/>
  <c r="D60" i="14"/>
  <c r="C60" i="14"/>
  <c r="F60" i="14" s="1"/>
  <c r="B60" i="14"/>
  <c r="D59" i="14"/>
  <c r="C59" i="14"/>
  <c r="B59" i="14"/>
  <c r="D57" i="14"/>
  <c r="C57" i="14"/>
  <c r="B57" i="14"/>
  <c r="D52" i="14"/>
  <c r="C52" i="14"/>
  <c r="B52" i="14"/>
  <c r="E52" i="14" s="1"/>
  <c r="D30" i="14"/>
  <c r="D41" i="14" s="1"/>
  <c r="C30" i="14"/>
  <c r="B30" i="14"/>
  <c r="D27" i="14"/>
  <c r="D56" i="14" s="1"/>
  <c r="C27" i="14"/>
  <c r="B27" i="14"/>
  <c r="D15" i="14"/>
  <c r="D55" i="14" s="1"/>
  <c r="C15" i="14"/>
  <c r="B15" i="14"/>
  <c r="B11" i="14"/>
  <c r="D62" i="12"/>
  <c r="C62" i="12"/>
  <c r="F62" i="12" s="1"/>
  <c r="B62" i="12"/>
  <c r="E62" i="12" s="1"/>
  <c r="D61" i="12"/>
  <c r="C61" i="12"/>
  <c r="B61" i="12"/>
  <c r="D60" i="12"/>
  <c r="C60" i="12"/>
  <c r="B60" i="12"/>
  <c r="D59" i="12"/>
  <c r="C59" i="12"/>
  <c r="B59" i="12"/>
  <c r="E59" i="12" s="1"/>
  <c r="D57" i="12"/>
  <c r="C57" i="12"/>
  <c r="F57" i="12" s="1"/>
  <c r="B57" i="12"/>
  <c r="E57" i="12" s="1"/>
  <c r="D52" i="12"/>
  <c r="C52" i="12"/>
  <c r="B52" i="12"/>
  <c r="D30" i="12"/>
  <c r="D41" i="12" s="1"/>
  <c r="C30" i="12"/>
  <c r="B30" i="12"/>
  <c r="D27" i="12"/>
  <c r="D56" i="12" s="1"/>
  <c r="C27" i="12"/>
  <c r="B27" i="12"/>
  <c r="D15" i="12"/>
  <c r="C15" i="12"/>
  <c r="F15" i="12" s="1"/>
  <c r="B15" i="12"/>
  <c r="D11" i="12"/>
  <c r="C11" i="12"/>
  <c r="B11" i="12"/>
  <c r="F59" i="12" l="1"/>
  <c r="E57" i="14"/>
  <c r="E62" i="14"/>
  <c r="E60" i="15"/>
  <c r="F52" i="16"/>
  <c r="F61" i="16"/>
  <c r="F60" i="17"/>
  <c r="E57" i="18"/>
  <c r="E62" i="18"/>
  <c r="E11" i="14"/>
  <c r="E60" i="12"/>
  <c r="E52" i="17"/>
  <c r="E61" i="17"/>
  <c r="F60" i="18"/>
  <c r="F61" i="12"/>
  <c r="E62" i="15"/>
  <c r="F59" i="16"/>
  <c r="F52" i="12"/>
  <c r="E59" i="17"/>
  <c r="F52" i="14"/>
  <c r="F61" i="14"/>
  <c r="F61" i="18"/>
  <c r="E57" i="15"/>
  <c r="F57" i="14"/>
  <c r="F62" i="14"/>
  <c r="F60" i="15"/>
  <c r="F57" i="18"/>
  <c r="F62" i="18"/>
  <c r="F30" i="12"/>
  <c r="F60" i="12"/>
  <c r="E59" i="14"/>
  <c r="E52" i="15"/>
  <c r="E61" i="15"/>
  <c r="F15" i="16"/>
  <c r="F57" i="16"/>
  <c r="F62" i="16"/>
  <c r="C56" i="15"/>
  <c r="F56" i="15" s="1"/>
  <c r="F27" i="15"/>
  <c r="F59" i="15"/>
  <c r="D11" i="15"/>
  <c r="F11" i="15" s="1"/>
  <c r="F10" i="15"/>
  <c r="C56" i="17"/>
  <c r="F56" i="17" s="1"/>
  <c r="F27" i="17"/>
  <c r="F59" i="17"/>
  <c r="E10" i="17"/>
  <c r="E52" i="18"/>
  <c r="E61" i="18"/>
  <c r="B41" i="14"/>
  <c r="E41" i="14" s="1"/>
  <c r="E30" i="14"/>
  <c r="C51" i="16"/>
  <c r="F11" i="16"/>
  <c r="E60" i="14"/>
  <c r="C56" i="16"/>
  <c r="F27" i="16"/>
  <c r="C41" i="18"/>
  <c r="F41" i="18" s="1"/>
  <c r="F30" i="18"/>
  <c r="C41" i="16"/>
  <c r="C49" i="16" s="1"/>
  <c r="F30" i="16"/>
  <c r="F52" i="18"/>
  <c r="B55" i="14"/>
  <c r="E15" i="14"/>
  <c r="B41" i="15"/>
  <c r="E30" i="15"/>
  <c r="C41" i="17"/>
  <c r="F30" i="17"/>
  <c r="B55" i="18"/>
  <c r="E15" i="18"/>
  <c r="B55" i="16"/>
  <c r="E15" i="16"/>
  <c r="E57" i="16"/>
  <c r="E62" i="16"/>
  <c r="C55" i="18"/>
  <c r="F55" i="18" s="1"/>
  <c r="F15" i="18"/>
  <c r="C41" i="15"/>
  <c r="F41" i="15" s="1"/>
  <c r="F30" i="15"/>
  <c r="B56" i="14"/>
  <c r="E27" i="14"/>
  <c r="C51" i="12"/>
  <c r="F11" i="12"/>
  <c r="B55" i="15"/>
  <c r="E15" i="15"/>
  <c r="C41" i="14"/>
  <c r="C49" i="14" s="1"/>
  <c r="F30" i="14"/>
  <c r="B55" i="12"/>
  <c r="E15" i="12"/>
  <c r="E61" i="14"/>
  <c r="B56" i="15"/>
  <c r="E27" i="15"/>
  <c r="B11" i="15"/>
  <c r="B22" i="15" s="1"/>
  <c r="E10" i="15"/>
  <c r="B56" i="17"/>
  <c r="E56" i="17" s="1"/>
  <c r="E27" i="17"/>
  <c r="B56" i="12"/>
  <c r="E27" i="12"/>
  <c r="E52" i="16"/>
  <c r="C11" i="17"/>
  <c r="F10" i="17"/>
  <c r="B41" i="17"/>
  <c r="E30" i="17"/>
  <c r="B41" i="12"/>
  <c r="B49" i="12" s="1"/>
  <c r="E30" i="12"/>
  <c r="F27" i="14"/>
  <c r="F59" i="14"/>
  <c r="C51" i="14"/>
  <c r="F51" i="14" s="1"/>
  <c r="F11" i="14"/>
  <c r="F52" i="15"/>
  <c r="F61" i="15"/>
  <c r="F52" i="17"/>
  <c r="F61" i="17"/>
  <c r="B56" i="18"/>
  <c r="E27" i="18"/>
  <c r="E59" i="18"/>
  <c r="E8" i="18"/>
  <c r="F8" i="18"/>
  <c r="B41" i="16"/>
  <c r="E30" i="16"/>
  <c r="B51" i="16"/>
  <c r="E51" i="16" s="1"/>
  <c r="E11" i="16"/>
  <c r="C56" i="12"/>
  <c r="F56" i="12" s="1"/>
  <c r="F27" i="12"/>
  <c r="C55" i="14"/>
  <c r="F55" i="14" s="1"/>
  <c r="F15" i="14"/>
  <c r="E11" i="12"/>
  <c r="E52" i="12"/>
  <c r="E61" i="12"/>
  <c r="B56" i="16"/>
  <c r="E27" i="16"/>
  <c r="E59" i="16"/>
  <c r="B11" i="17"/>
  <c r="C56" i="18"/>
  <c r="F56" i="18" s="1"/>
  <c r="F27" i="18"/>
  <c r="F59" i="18"/>
  <c r="B55" i="17"/>
  <c r="E15" i="17"/>
  <c r="E57" i="17"/>
  <c r="E62" i="17"/>
  <c r="C55" i="15"/>
  <c r="F55" i="15" s="1"/>
  <c r="F15" i="15"/>
  <c r="F15" i="17"/>
  <c r="F57" i="17"/>
  <c r="F62" i="17"/>
  <c r="B41" i="18"/>
  <c r="B49" i="18" s="1"/>
  <c r="E30" i="18"/>
  <c r="E60" i="18"/>
  <c r="C22" i="15"/>
  <c r="B22" i="14"/>
  <c r="C53" i="18"/>
  <c r="F53" i="18" s="1"/>
  <c r="B11" i="18"/>
  <c r="C11" i="18"/>
  <c r="D11" i="18"/>
  <c r="D51" i="18" s="1"/>
  <c r="D54" i="18" s="1"/>
  <c r="D49" i="18"/>
  <c r="D11" i="17"/>
  <c r="D51" i="17" s="1"/>
  <c r="D54" i="17" s="1"/>
  <c r="B49" i="17"/>
  <c r="D49" i="17"/>
  <c r="C55" i="17"/>
  <c r="F55" i="17" s="1"/>
  <c r="D56" i="16"/>
  <c r="D22" i="16"/>
  <c r="C55" i="16"/>
  <c r="D55" i="16"/>
  <c r="D51" i="16"/>
  <c r="D41" i="16"/>
  <c r="B22" i="16"/>
  <c r="C22" i="16"/>
  <c r="C51" i="15"/>
  <c r="D22" i="15"/>
  <c r="C53" i="15"/>
  <c r="C49" i="15"/>
  <c r="D53" i="15"/>
  <c r="D49" i="15"/>
  <c r="B49" i="15"/>
  <c r="D49" i="14"/>
  <c r="C22" i="14"/>
  <c r="B51" i="14"/>
  <c r="D22" i="14"/>
  <c r="C56" i="14"/>
  <c r="F56" i="14" s="1"/>
  <c r="D53" i="14"/>
  <c r="B22" i="12"/>
  <c r="C55" i="12"/>
  <c r="D55" i="12"/>
  <c r="D51" i="12"/>
  <c r="D22" i="12"/>
  <c r="D49" i="12"/>
  <c r="C41" i="12"/>
  <c r="C22" i="12"/>
  <c r="B51" i="12"/>
  <c r="D53" i="12"/>
  <c r="B29" i="1"/>
  <c r="C29" i="1"/>
  <c r="D29" i="1"/>
  <c r="D37" i="9"/>
  <c r="F37" i="9" s="1"/>
  <c r="B37" i="1"/>
  <c r="C37" i="1"/>
  <c r="D37" i="1"/>
  <c r="B39" i="1"/>
  <c r="C39" i="1"/>
  <c r="D39" i="1"/>
  <c r="D42" i="3"/>
  <c r="D43" i="8"/>
  <c r="D62" i="11"/>
  <c r="C62" i="11"/>
  <c r="B62" i="11"/>
  <c r="D61" i="11"/>
  <c r="C61" i="11"/>
  <c r="B61" i="11"/>
  <c r="D60" i="11"/>
  <c r="C60" i="11"/>
  <c r="B60" i="11"/>
  <c r="D59" i="11"/>
  <c r="C59" i="11"/>
  <c r="B59" i="11"/>
  <c r="D57" i="11"/>
  <c r="C57" i="11"/>
  <c r="B57" i="11"/>
  <c r="D52" i="11"/>
  <c r="C52" i="11"/>
  <c r="B52" i="11"/>
  <c r="D30" i="11"/>
  <c r="D41" i="11" s="1"/>
  <c r="D53" i="11" s="1"/>
  <c r="C30" i="11"/>
  <c r="B30" i="11"/>
  <c r="D27" i="11"/>
  <c r="D56" i="11" s="1"/>
  <c r="C27" i="11"/>
  <c r="B27" i="11"/>
  <c r="D15" i="11"/>
  <c r="D55" i="11" s="1"/>
  <c r="C15" i="11"/>
  <c r="B15" i="11"/>
  <c r="D11" i="11"/>
  <c r="D51" i="11" s="1"/>
  <c r="C11" i="11"/>
  <c r="B11" i="11"/>
  <c r="D62" i="10"/>
  <c r="C62" i="10"/>
  <c r="B62" i="10"/>
  <c r="D61" i="10"/>
  <c r="C61" i="10"/>
  <c r="B61" i="10"/>
  <c r="D60" i="10"/>
  <c r="C60" i="10"/>
  <c r="B60" i="10"/>
  <c r="D59" i="10"/>
  <c r="C59" i="10"/>
  <c r="B59" i="10"/>
  <c r="D57" i="10"/>
  <c r="C57" i="10"/>
  <c r="B57" i="10"/>
  <c r="D52" i="10"/>
  <c r="C52" i="10"/>
  <c r="B52" i="10"/>
  <c r="D30" i="10"/>
  <c r="D41" i="10" s="1"/>
  <c r="D53" i="10" s="1"/>
  <c r="C30" i="10"/>
  <c r="B30" i="10"/>
  <c r="D27" i="10"/>
  <c r="D56" i="10" s="1"/>
  <c r="C27" i="10"/>
  <c r="B27" i="10"/>
  <c r="D15" i="10"/>
  <c r="D55" i="10" s="1"/>
  <c r="C15" i="10"/>
  <c r="B15" i="10"/>
  <c r="D11" i="10"/>
  <c r="D51" i="10" s="1"/>
  <c r="C11" i="10"/>
  <c r="B11" i="10"/>
  <c r="D8" i="9"/>
  <c r="F8" i="9" s="1"/>
  <c r="D62" i="9"/>
  <c r="C62" i="9"/>
  <c r="B62" i="9"/>
  <c r="D61" i="9"/>
  <c r="C61" i="9"/>
  <c r="B61" i="9"/>
  <c r="D60" i="9"/>
  <c r="C60" i="9"/>
  <c r="B60" i="9"/>
  <c r="D59" i="9"/>
  <c r="C59" i="9"/>
  <c r="B59" i="9"/>
  <c r="D57" i="9"/>
  <c r="C57" i="9"/>
  <c r="B57" i="9"/>
  <c r="D52" i="9"/>
  <c r="C52" i="9"/>
  <c r="B52" i="9"/>
  <c r="D30" i="9"/>
  <c r="C30" i="9"/>
  <c r="B30" i="9"/>
  <c r="D27" i="9"/>
  <c r="D56" i="9" s="1"/>
  <c r="C27" i="9"/>
  <c r="B27" i="9"/>
  <c r="D15" i="9"/>
  <c r="C15" i="9"/>
  <c r="B15" i="9"/>
  <c r="C11" i="9"/>
  <c r="B11" i="9"/>
  <c r="D26" i="8"/>
  <c r="F26" i="8" s="1"/>
  <c r="D62" i="8"/>
  <c r="C62" i="8"/>
  <c r="B62" i="8"/>
  <c r="D61" i="8"/>
  <c r="C61" i="8"/>
  <c r="B61" i="8"/>
  <c r="D60" i="8"/>
  <c r="C60" i="8"/>
  <c r="B60" i="8"/>
  <c r="D59" i="8"/>
  <c r="C59" i="8"/>
  <c r="B59" i="8"/>
  <c r="C57" i="8"/>
  <c r="B57" i="8"/>
  <c r="D52" i="8"/>
  <c r="C52" i="8"/>
  <c r="B52" i="8"/>
  <c r="D30" i="8"/>
  <c r="C30" i="8"/>
  <c r="B30" i="8"/>
  <c r="C27" i="8"/>
  <c r="B27" i="8"/>
  <c r="D15" i="8"/>
  <c r="C15" i="8"/>
  <c r="B15" i="8"/>
  <c r="D11" i="8"/>
  <c r="D51" i="8" s="1"/>
  <c r="C11" i="8"/>
  <c r="B11" i="8"/>
  <c r="C10" i="7"/>
  <c r="D62" i="7"/>
  <c r="C62" i="7"/>
  <c r="B62" i="7"/>
  <c r="D61" i="7"/>
  <c r="C61" i="7"/>
  <c r="B61" i="7"/>
  <c r="D60" i="7"/>
  <c r="C60" i="7"/>
  <c r="B60" i="7"/>
  <c r="D59" i="7"/>
  <c r="C59" i="7"/>
  <c r="B59" i="7"/>
  <c r="D57" i="7"/>
  <c r="C57" i="7"/>
  <c r="B57" i="7"/>
  <c r="D52" i="7"/>
  <c r="C52" i="7"/>
  <c r="B52" i="7"/>
  <c r="D30" i="7"/>
  <c r="D41" i="7" s="1"/>
  <c r="D53" i="7" s="1"/>
  <c r="C30" i="7"/>
  <c r="B30" i="7"/>
  <c r="D27" i="7"/>
  <c r="D56" i="7" s="1"/>
  <c r="C27" i="7"/>
  <c r="B27" i="7"/>
  <c r="D15" i="7"/>
  <c r="C15" i="7"/>
  <c r="B15" i="7"/>
  <c r="D11" i="7"/>
  <c r="D51" i="7" s="1"/>
  <c r="B11" i="7"/>
  <c r="E51" i="14" l="1"/>
  <c r="F52" i="7"/>
  <c r="E62" i="8"/>
  <c r="E60" i="9"/>
  <c r="C49" i="18"/>
  <c r="E49" i="18" s="1"/>
  <c r="E56" i="16"/>
  <c r="E52" i="7"/>
  <c r="E61" i="7"/>
  <c r="F59" i="8"/>
  <c r="F52" i="9"/>
  <c r="F61" i="9"/>
  <c r="E59" i="10"/>
  <c r="E52" i="11"/>
  <c r="E61" i="11"/>
  <c r="E57" i="9"/>
  <c r="E62" i="9"/>
  <c r="E56" i="14"/>
  <c r="F15" i="7"/>
  <c r="F57" i="7"/>
  <c r="F62" i="7"/>
  <c r="F30" i="10"/>
  <c r="F60" i="10"/>
  <c r="F57" i="11"/>
  <c r="F62" i="11"/>
  <c r="F49" i="15"/>
  <c r="F59" i="7"/>
  <c r="F52" i="8"/>
  <c r="F52" i="10"/>
  <c r="F61" i="10"/>
  <c r="F59" i="11"/>
  <c r="F11" i="17"/>
  <c r="E55" i="12"/>
  <c r="E55" i="14"/>
  <c r="D22" i="18"/>
  <c r="F22" i="12"/>
  <c r="F60" i="7"/>
  <c r="F57" i="10"/>
  <c r="F62" i="10"/>
  <c r="F30" i="11"/>
  <c r="F60" i="11"/>
  <c r="F49" i="14"/>
  <c r="F41" i="16"/>
  <c r="E59" i="8"/>
  <c r="E55" i="15"/>
  <c r="F61" i="7"/>
  <c r="F59" i="10"/>
  <c r="F11" i="11"/>
  <c r="F52" i="11"/>
  <c r="F61" i="11"/>
  <c r="E30" i="7"/>
  <c r="E60" i="7"/>
  <c r="E57" i="8"/>
  <c r="F62" i="8"/>
  <c r="C41" i="9"/>
  <c r="C53" i="9" s="1"/>
  <c r="F30" i="9"/>
  <c r="F60" i="9"/>
  <c r="B55" i="10"/>
  <c r="E15" i="10"/>
  <c r="E57" i="10"/>
  <c r="E62" i="10"/>
  <c r="B41" i="11"/>
  <c r="B49" i="11" s="1"/>
  <c r="E30" i="11"/>
  <c r="E60" i="11"/>
  <c r="F39" i="1"/>
  <c r="C49" i="12"/>
  <c r="F49" i="12" s="1"/>
  <c r="F41" i="12"/>
  <c r="F22" i="14"/>
  <c r="F53" i="15"/>
  <c r="F55" i="16"/>
  <c r="B53" i="18"/>
  <c r="E53" i="18" s="1"/>
  <c r="E41" i="18"/>
  <c r="B51" i="8"/>
  <c r="E11" i="8"/>
  <c r="C41" i="7"/>
  <c r="F41" i="7" s="1"/>
  <c r="F30" i="7"/>
  <c r="C55" i="10"/>
  <c r="F55" i="10" s="1"/>
  <c r="F15" i="10"/>
  <c r="E39" i="1"/>
  <c r="B22" i="17"/>
  <c r="E11" i="17"/>
  <c r="C53" i="14"/>
  <c r="F53" i="14" s="1"/>
  <c r="F41" i="14"/>
  <c r="E52" i="9"/>
  <c r="E61" i="9"/>
  <c r="B49" i="14"/>
  <c r="E49" i="14" s="1"/>
  <c r="D51" i="15"/>
  <c r="D54" i="15" s="1"/>
  <c r="F49" i="18"/>
  <c r="E56" i="12"/>
  <c r="C56" i="7"/>
  <c r="F56" i="7" s="1"/>
  <c r="F27" i="7"/>
  <c r="B55" i="8"/>
  <c r="E15" i="8"/>
  <c r="F37" i="1"/>
  <c r="B53" i="14"/>
  <c r="B54" i="14" s="1"/>
  <c r="E55" i="16"/>
  <c r="C51" i="9"/>
  <c r="E37" i="1"/>
  <c r="F22" i="16"/>
  <c r="C56" i="8"/>
  <c r="E60" i="8"/>
  <c r="B55" i="9"/>
  <c r="E15" i="9"/>
  <c r="E22" i="16"/>
  <c r="C51" i="18"/>
  <c r="F51" i="18" s="1"/>
  <c r="F11" i="18"/>
  <c r="F51" i="12"/>
  <c r="E55" i="18"/>
  <c r="C51" i="10"/>
  <c r="F51" i="10" s="1"/>
  <c r="F11" i="10"/>
  <c r="C55" i="8"/>
  <c r="F15" i="8"/>
  <c r="B51" i="9"/>
  <c r="E51" i="9" s="1"/>
  <c r="E11" i="9"/>
  <c r="B56" i="10"/>
  <c r="E56" i="10" s="1"/>
  <c r="E27" i="10"/>
  <c r="B51" i="11"/>
  <c r="E11" i="11"/>
  <c r="B51" i="7"/>
  <c r="B56" i="8"/>
  <c r="E27" i="8"/>
  <c r="C56" i="10"/>
  <c r="F56" i="10" s="1"/>
  <c r="F27" i="10"/>
  <c r="C51" i="17"/>
  <c r="F51" i="17" s="1"/>
  <c r="B53" i="16"/>
  <c r="E41" i="16"/>
  <c r="B55" i="7"/>
  <c r="E15" i="7"/>
  <c r="E57" i="7"/>
  <c r="E62" i="7"/>
  <c r="B41" i="8"/>
  <c r="E30" i="8"/>
  <c r="F60" i="8"/>
  <c r="C55" i="9"/>
  <c r="F15" i="9"/>
  <c r="F57" i="9"/>
  <c r="F62" i="9"/>
  <c r="B41" i="10"/>
  <c r="B49" i="10" s="1"/>
  <c r="E30" i="10"/>
  <c r="E60" i="10"/>
  <c r="B55" i="11"/>
  <c r="E15" i="11"/>
  <c r="E57" i="11"/>
  <c r="E62" i="11"/>
  <c r="F55" i="12"/>
  <c r="E22" i="15"/>
  <c r="B51" i="17"/>
  <c r="B51" i="18"/>
  <c r="E11" i="18"/>
  <c r="B51" i="15"/>
  <c r="E11" i="15"/>
  <c r="F56" i="16"/>
  <c r="C51" i="8"/>
  <c r="F51" i="8" s="1"/>
  <c r="F11" i="8"/>
  <c r="B41" i="9"/>
  <c r="B49" i="9" s="1"/>
  <c r="E30" i="9"/>
  <c r="E49" i="15"/>
  <c r="B53" i="12"/>
  <c r="E53" i="12" s="1"/>
  <c r="E41" i="12"/>
  <c r="C41" i="8"/>
  <c r="F30" i="8"/>
  <c r="C55" i="11"/>
  <c r="F55" i="11" s="1"/>
  <c r="F15" i="11"/>
  <c r="E22" i="12"/>
  <c r="C22" i="17"/>
  <c r="C53" i="17"/>
  <c r="F53" i="17" s="1"/>
  <c r="F41" i="17"/>
  <c r="E61" i="8"/>
  <c r="B56" i="9"/>
  <c r="E27" i="9"/>
  <c r="E59" i="9"/>
  <c r="E29" i="1"/>
  <c r="B49" i="16"/>
  <c r="E49" i="16" s="1"/>
  <c r="E22" i="14"/>
  <c r="E56" i="15"/>
  <c r="F29" i="1"/>
  <c r="B56" i="7"/>
  <c r="E27" i="7"/>
  <c r="E59" i="7"/>
  <c r="F10" i="7"/>
  <c r="E10" i="7"/>
  <c r="E52" i="8"/>
  <c r="F61" i="8"/>
  <c r="C56" i="9"/>
  <c r="F56" i="9" s="1"/>
  <c r="F27" i="9"/>
  <c r="F59" i="9"/>
  <c r="B51" i="10"/>
  <c r="E51" i="10" s="1"/>
  <c r="E11" i="10"/>
  <c r="E52" i="10"/>
  <c r="E61" i="10"/>
  <c r="B56" i="11"/>
  <c r="E27" i="11"/>
  <c r="E59" i="11"/>
  <c r="C53" i="16"/>
  <c r="C54" i="16" s="1"/>
  <c r="C49" i="17"/>
  <c r="F49" i="17" s="1"/>
  <c r="F22" i="15"/>
  <c r="E55" i="17"/>
  <c r="E56" i="18"/>
  <c r="B53" i="17"/>
  <c r="E53" i="17" s="1"/>
  <c r="E41" i="17"/>
  <c r="B53" i="15"/>
  <c r="E53" i="15" s="1"/>
  <c r="E41" i="15"/>
  <c r="F51" i="16"/>
  <c r="C56" i="11"/>
  <c r="F56" i="11" s="1"/>
  <c r="F27" i="11"/>
  <c r="F42" i="3"/>
  <c r="E51" i="12"/>
  <c r="C11" i="7"/>
  <c r="F11" i="7" s="1"/>
  <c r="C41" i="10"/>
  <c r="C22" i="18"/>
  <c r="F22" i="18" s="1"/>
  <c r="D40" i="1"/>
  <c r="C54" i="15"/>
  <c r="D55" i="9"/>
  <c r="C40" i="1"/>
  <c r="D27" i="8"/>
  <c r="F27" i="8" s="1"/>
  <c r="D11" i="9"/>
  <c r="D51" i="9" s="1"/>
  <c r="B40" i="1"/>
  <c r="C54" i="18"/>
  <c r="B22" i="18"/>
  <c r="D58" i="18"/>
  <c r="D22" i="17"/>
  <c r="D58" i="17"/>
  <c r="D53" i="16"/>
  <c r="D49" i="16"/>
  <c r="F49" i="16" s="1"/>
  <c r="D54" i="14"/>
  <c r="C53" i="12"/>
  <c r="F53" i="12" s="1"/>
  <c r="D54" i="12"/>
  <c r="D41" i="9"/>
  <c r="D53" i="9" s="1"/>
  <c r="C22" i="11"/>
  <c r="D54" i="11"/>
  <c r="C41" i="11"/>
  <c r="D49" i="11"/>
  <c r="B22" i="11"/>
  <c r="D22" i="11"/>
  <c r="C51" i="11"/>
  <c r="F51" i="11" s="1"/>
  <c r="D54" i="10"/>
  <c r="D49" i="10"/>
  <c r="B22" i="10"/>
  <c r="C22" i="10"/>
  <c r="D22" i="10"/>
  <c r="B22" i="9"/>
  <c r="C22" i="9"/>
  <c r="D57" i="8"/>
  <c r="F57" i="8" s="1"/>
  <c r="D41" i="8"/>
  <c r="D55" i="8"/>
  <c r="C53" i="8"/>
  <c r="C22" i="8"/>
  <c r="F22" i="8" s="1"/>
  <c r="D22" i="8"/>
  <c r="B22" i="8"/>
  <c r="B49" i="8"/>
  <c r="B41" i="7"/>
  <c r="C49" i="7"/>
  <c r="D54" i="7"/>
  <c r="D49" i="7"/>
  <c r="C55" i="7"/>
  <c r="D55" i="7"/>
  <c r="B22" i="7"/>
  <c r="C53" i="7"/>
  <c r="F53" i="7" s="1"/>
  <c r="D22" i="7"/>
  <c r="D62" i="6"/>
  <c r="C62" i="6"/>
  <c r="B62" i="6"/>
  <c r="D61" i="6"/>
  <c r="C61" i="6"/>
  <c r="B61" i="6"/>
  <c r="D60" i="6"/>
  <c r="C60" i="6"/>
  <c r="F60" i="6" s="1"/>
  <c r="B60" i="6"/>
  <c r="D59" i="6"/>
  <c r="C59" i="6"/>
  <c r="B59" i="6"/>
  <c r="E59" i="6" s="1"/>
  <c r="D57" i="6"/>
  <c r="C57" i="6"/>
  <c r="B57" i="6"/>
  <c r="D52" i="6"/>
  <c r="C52" i="6"/>
  <c r="B52" i="6"/>
  <c r="D30" i="6"/>
  <c r="D41" i="6" s="1"/>
  <c r="C30" i="6"/>
  <c r="B30" i="6"/>
  <c r="D27" i="6"/>
  <c r="C27" i="6"/>
  <c r="B27" i="6"/>
  <c r="D15" i="6"/>
  <c r="D55" i="6" s="1"/>
  <c r="C15" i="6"/>
  <c r="B15" i="6"/>
  <c r="D11" i="6"/>
  <c r="C11" i="6"/>
  <c r="B11" i="6"/>
  <c r="C30" i="4"/>
  <c r="D8" i="4"/>
  <c r="C8" i="4"/>
  <c r="B8" i="4"/>
  <c r="B10" i="3"/>
  <c r="B30" i="3"/>
  <c r="D62" i="4"/>
  <c r="C62" i="4"/>
  <c r="B62" i="4"/>
  <c r="E62" i="4" s="1"/>
  <c r="D61" i="4"/>
  <c r="C61" i="4"/>
  <c r="B61" i="4"/>
  <c r="D60" i="4"/>
  <c r="C60" i="4"/>
  <c r="B60" i="4"/>
  <c r="D59" i="4"/>
  <c r="C59" i="4"/>
  <c r="F59" i="4" s="1"/>
  <c r="B59" i="4"/>
  <c r="D57" i="4"/>
  <c r="C57" i="4"/>
  <c r="B57" i="4"/>
  <c r="E57" i="4" s="1"/>
  <c r="D52" i="4"/>
  <c r="C52" i="4"/>
  <c r="B52" i="4"/>
  <c r="D30" i="4"/>
  <c r="D41" i="4" s="1"/>
  <c r="D53" i="4" s="1"/>
  <c r="B30" i="4"/>
  <c r="D27" i="4"/>
  <c r="C27" i="4"/>
  <c r="F27" i="4" s="1"/>
  <c r="B27" i="4"/>
  <c r="D15" i="4"/>
  <c r="D55" i="4" s="1"/>
  <c r="C15" i="4"/>
  <c r="B15" i="4"/>
  <c r="C49" i="9" l="1"/>
  <c r="E55" i="9"/>
  <c r="E49" i="12"/>
  <c r="C54" i="14"/>
  <c r="F54" i="14" s="1"/>
  <c r="E51" i="8"/>
  <c r="F53" i="9"/>
  <c r="F41" i="8"/>
  <c r="E22" i="17"/>
  <c r="E56" i="11"/>
  <c r="E56" i="9"/>
  <c r="E59" i="4"/>
  <c r="E60" i="6"/>
  <c r="C49" i="8"/>
  <c r="E49" i="8" s="1"/>
  <c r="E56" i="7"/>
  <c r="F60" i="4"/>
  <c r="F11" i="6"/>
  <c r="F52" i="6"/>
  <c r="F61" i="6"/>
  <c r="E22" i="9"/>
  <c r="E22" i="11"/>
  <c r="F51" i="15"/>
  <c r="E22" i="10"/>
  <c r="F22" i="11"/>
  <c r="F55" i="9"/>
  <c r="B41" i="3"/>
  <c r="F22" i="10"/>
  <c r="C58" i="15"/>
  <c r="C63" i="15" s="1"/>
  <c r="F54" i="15"/>
  <c r="E60" i="4"/>
  <c r="B51" i="6"/>
  <c r="E11" i="6"/>
  <c r="E52" i="6"/>
  <c r="E61" i="6"/>
  <c r="F55" i="7"/>
  <c r="C54" i="17"/>
  <c r="F54" i="17" s="1"/>
  <c r="E55" i="8"/>
  <c r="B54" i="18"/>
  <c r="E51" i="18"/>
  <c r="E10" i="3"/>
  <c r="F55" i="8"/>
  <c r="E49" i="17"/>
  <c r="F22" i="17"/>
  <c r="B53" i="9"/>
  <c r="E41" i="9"/>
  <c r="B53" i="8"/>
  <c r="E53" i="8" s="1"/>
  <c r="E41" i="8"/>
  <c r="E56" i="8"/>
  <c r="C41" i="6"/>
  <c r="F41" i="6" s="1"/>
  <c r="F30" i="6"/>
  <c r="C41" i="4"/>
  <c r="F30" i="4"/>
  <c r="B41" i="4"/>
  <c r="E30" i="4"/>
  <c r="B54" i="8"/>
  <c r="E55" i="10"/>
  <c r="E52" i="4"/>
  <c r="E61" i="4"/>
  <c r="B55" i="6"/>
  <c r="E15" i="6"/>
  <c r="E57" i="6"/>
  <c r="E62" i="6"/>
  <c r="F49" i="7"/>
  <c r="E22" i="18"/>
  <c r="E11" i="7"/>
  <c r="C55" i="4"/>
  <c r="F55" i="4" s="1"/>
  <c r="F15" i="4"/>
  <c r="B41" i="6"/>
  <c r="B53" i="6" s="1"/>
  <c r="E30" i="6"/>
  <c r="F40" i="1"/>
  <c r="B54" i="17"/>
  <c r="E51" i="17"/>
  <c r="F52" i="4"/>
  <c r="F61" i="4"/>
  <c r="C55" i="6"/>
  <c r="F55" i="6" s="1"/>
  <c r="F15" i="6"/>
  <c r="F57" i="6"/>
  <c r="F62" i="6"/>
  <c r="B53" i="7"/>
  <c r="E41" i="7"/>
  <c r="B58" i="14"/>
  <c r="C58" i="18"/>
  <c r="F58" i="18" s="1"/>
  <c r="F54" i="18"/>
  <c r="B54" i="12"/>
  <c r="E55" i="11"/>
  <c r="F41" i="9"/>
  <c r="F8" i="4"/>
  <c r="E40" i="1"/>
  <c r="F11" i="9"/>
  <c r="B11" i="4"/>
  <c r="B22" i="4" s="1"/>
  <c r="E8" i="4"/>
  <c r="B53" i="11"/>
  <c r="E41" i="11"/>
  <c r="B56" i="6"/>
  <c r="E27" i="6"/>
  <c r="C51" i="7"/>
  <c r="F51" i="7" s="1"/>
  <c r="E22" i="8"/>
  <c r="E49" i="9"/>
  <c r="E55" i="7"/>
  <c r="F51" i="9"/>
  <c r="B56" i="4"/>
  <c r="E27" i="4"/>
  <c r="C58" i="14"/>
  <c r="C63" i="14" s="1"/>
  <c r="F53" i="16"/>
  <c r="B55" i="4"/>
  <c r="E15" i="4"/>
  <c r="F57" i="4"/>
  <c r="F62" i="4"/>
  <c r="F27" i="6"/>
  <c r="F59" i="6"/>
  <c r="E51" i="15"/>
  <c r="B54" i="15"/>
  <c r="B53" i="10"/>
  <c r="B54" i="10" s="1"/>
  <c r="E41" i="10"/>
  <c r="E51" i="11"/>
  <c r="C22" i="7"/>
  <c r="F22" i="7" s="1"/>
  <c r="C49" i="11"/>
  <c r="F49" i="11" s="1"/>
  <c r="F41" i="11"/>
  <c r="C53" i="10"/>
  <c r="F53" i="10" s="1"/>
  <c r="F41" i="10"/>
  <c r="E53" i="16"/>
  <c r="B54" i="16"/>
  <c r="E53" i="14"/>
  <c r="D56" i="8"/>
  <c r="F56" i="8" s="1"/>
  <c r="C54" i="10"/>
  <c r="F54" i="10" s="1"/>
  <c r="C49" i="10"/>
  <c r="F49" i="10" s="1"/>
  <c r="D49" i="9"/>
  <c r="F49" i="9" s="1"/>
  <c r="D54" i="9"/>
  <c r="D58" i="9" s="1"/>
  <c r="D11" i="4"/>
  <c r="D51" i="4" s="1"/>
  <c r="D54" i="4" s="1"/>
  <c r="D22" i="9"/>
  <c r="F22" i="9" s="1"/>
  <c r="C11" i="4"/>
  <c r="C63" i="18"/>
  <c r="D63" i="18"/>
  <c r="D63" i="17"/>
  <c r="C58" i="17"/>
  <c r="F58" i="17" s="1"/>
  <c r="C58" i="16"/>
  <c r="D54" i="16"/>
  <c r="F54" i="16" s="1"/>
  <c r="D58" i="15"/>
  <c r="D58" i="14"/>
  <c r="D58" i="12"/>
  <c r="C54" i="12"/>
  <c r="F54" i="12" s="1"/>
  <c r="D53" i="8"/>
  <c r="D54" i="8" s="1"/>
  <c r="B49" i="7"/>
  <c r="E49" i="7" s="1"/>
  <c r="C53" i="11"/>
  <c r="D58" i="11"/>
  <c r="D58" i="10"/>
  <c r="C54" i="9"/>
  <c r="D49" i="8"/>
  <c r="F49" i="8" s="1"/>
  <c r="C54" i="8"/>
  <c r="D58" i="7"/>
  <c r="D49" i="6"/>
  <c r="C22" i="6"/>
  <c r="B22" i="6"/>
  <c r="D22" i="6"/>
  <c r="D51" i="6"/>
  <c r="C51" i="6"/>
  <c r="B49" i="6"/>
  <c r="D53" i="6"/>
  <c r="D56" i="6"/>
  <c r="C56" i="6"/>
  <c r="C49" i="4"/>
  <c r="D49" i="4"/>
  <c r="B49" i="4"/>
  <c r="E49" i="4" s="1"/>
  <c r="C56" i="4"/>
  <c r="D56" i="4"/>
  <c r="E22" i="6" l="1"/>
  <c r="F53" i="8"/>
  <c r="E54" i="14"/>
  <c r="E55" i="4"/>
  <c r="F54" i="9"/>
  <c r="F63" i="18"/>
  <c r="E49" i="11"/>
  <c r="E55" i="6"/>
  <c r="C54" i="7"/>
  <c r="F54" i="7" s="1"/>
  <c r="F54" i="8"/>
  <c r="E56" i="6"/>
  <c r="E56" i="4"/>
  <c r="F58" i="15"/>
  <c r="E51" i="6"/>
  <c r="B54" i="7"/>
  <c r="E53" i="7"/>
  <c r="B58" i="17"/>
  <c r="E54" i="17"/>
  <c r="B58" i="10"/>
  <c r="E54" i="10"/>
  <c r="E53" i="11"/>
  <c r="B54" i="11"/>
  <c r="F51" i="6"/>
  <c r="C51" i="4"/>
  <c r="F51" i="4" s="1"/>
  <c r="F11" i="4"/>
  <c r="B63" i="14"/>
  <c r="E63" i="14" s="1"/>
  <c r="E58" i="14"/>
  <c r="E51" i="7"/>
  <c r="B58" i="8"/>
  <c r="E54" i="8"/>
  <c r="B51" i="4"/>
  <c r="E11" i="4"/>
  <c r="B58" i="18"/>
  <c r="E54" i="18"/>
  <c r="B58" i="16"/>
  <c r="E54" i="16"/>
  <c r="E41" i="6"/>
  <c r="C54" i="11"/>
  <c r="F54" i="11" s="1"/>
  <c r="F53" i="11"/>
  <c r="F49" i="4"/>
  <c r="B53" i="4"/>
  <c r="E41" i="4"/>
  <c r="E53" i="9"/>
  <c r="B54" i="9"/>
  <c r="C53" i="6"/>
  <c r="F53" i="6" s="1"/>
  <c r="F56" i="4"/>
  <c r="B54" i="6"/>
  <c r="C53" i="4"/>
  <c r="F53" i="4" s="1"/>
  <c r="F41" i="4"/>
  <c r="B58" i="12"/>
  <c r="E54" i="12"/>
  <c r="F22" i="6"/>
  <c r="E53" i="10"/>
  <c r="E49" i="10"/>
  <c r="F56" i="6"/>
  <c r="C49" i="6"/>
  <c r="F49" i="6" s="1"/>
  <c r="B58" i="15"/>
  <c r="E54" i="15"/>
  <c r="F58" i="14"/>
  <c r="E22" i="7"/>
  <c r="D58" i="8"/>
  <c r="D63" i="8" s="1"/>
  <c r="C58" i="10"/>
  <c r="F58" i="10" s="1"/>
  <c r="D22" i="4"/>
  <c r="C22" i="4"/>
  <c r="C63" i="17"/>
  <c r="F63" i="17" s="1"/>
  <c r="D58" i="16"/>
  <c r="F58" i="16" s="1"/>
  <c r="C63" i="16"/>
  <c r="D63" i="15"/>
  <c r="F63" i="15" s="1"/>
  <c r="D63" i="14"/>
  <c r="F63" i="14" s="1"/>
  <c r="D63" i="12"/>
  <c r="C58" i="12"/>
  <c r="F58" i="12" s="1"/>
  <c r="C54" i="6"/>
  <c r="D54" i="6"/>
  <c r="D63" i="11"/>
  <c r="C58" i="11"/>
  <c r="F58" i="11" s="1"/>
  <c r="D63" i="10"/>
  <c r="C58" i="9"/>
  <c r="F58" i="9" s="1"/>
  <c r="D63" i="9"/>
  <c r="C58" i="8"/>
  <c r="D63" i="7"/>
  <c r="D58" i="4"/>
  <c r="E53" i="4" l="1"/>
  <c r="C58" i="7"/>
  <c r="F58" i="7" s="1"/>
  <c r="E49" i="6"/>
  <c r="C54" i="4"/>
  <c r="C58" i="4" s="1"/>
  <c r="F54" i="6"/>
  <c r="F58" i="8"/>
  <c r="E53" i="6"/>
  <c r="B63" i="10"/>
  <c r="E58" i="10"/>
  <c r="B63" i="18"/>
  <c r="E63" i="18" s="1"/>
  <c r="E58" i="18"/>
  <c r="B63" i="17"/>
  <c r="E63" i="17" s="1"/>
  <c r="E58" i="17"/>
  <c r="F22" i="4"/>
  <c r="E51" i="4"/>
  <c r="B54" i="4"/>
  <c r="B58" i="6"/>
  <c r="E54" i="6"/>
  <c r="B58" i="11"/>
  <c r="E54" i="11"/>
  <c r="B58" i="7"/>
  <c r="E54" i="7"/>
  <c r="B63" i="16"/>
  <c r="E63" i="16" s="1"/>
  <c r="E58" i="16"/>
  <c r="B63" i="12"/>
  <c r="E58" i="12"/>
  <c r="B63" i="15"/>
  <c r="E63" i="15" s="1"/>
  <c r="E58" i="15"/>
  <c r="B58" i="9"/>
  <c r="E54" i="9"/>
  <c r="B63" i="8"/>
  <c r="E63" i="8" s="1"/>
  <c r="E58" i="8"/>
  <c r="E22" i="4"/>
  <c r="C63" i="10"/>
  <c r="F63" i="10" s="1"/>
  <c r="D63" i="16"/>
  <c r="F63" i="16" s="1"/>
  <c r="C63" i="12"/>
  <c r="F63" i="12" s="1"/>
  <c r="D58" i="6"/>
  <c r="D63" i="6" s="1"/>
  <c r="C58" i="6"/>
  <c r="C63" i="11"/>
  <c r="F63" i="11" s="1"/>
  <c r="C63" i="9"/>
  <c r="F63" i="9" s="1"/>
  <c r="C63" i="8"/>
  <c r="F63" i="8" s="1"/>
  <c r="D63" i="4"/>
  <c r="C63" i="7" l="1"/>
  <c r="F63" i="7" s="1"/>
  <c r="F58" i="4"/>
  <c r="C63" i="4"/>
  <c r="F63" i="4" s="1"/>
  <c r="F54" i="4"/>
  <c r="E63" i="12"/>
  <c r="B58" i="4"/>
  <c r="E54" i="4"/>
  <c r="B63" i="9"/>
  <c r="E63" i="9" s="1"/>
  <c r="E58" i="9"/>
  <c r="B63" i="7"/>
  <c r="E63" i="7" s="1"/>
  <c r="E58" i="7"/>
  <c r="B63" i="11"/>
  <c r="E63" i="11" s="1"/>
  <c r="E58" i="11"/>
  <c r="F58" i="6"/>
  <c r="E63" i="10"/>
  <c r="B63" i="6"/>
  <c r="E58" i="6"/>
  <c r="C63" i="6"/>
  <c r="F63" i="6" s="1"/>
  <c r="E63" i="6" l="1"/>
  <c r="B63" i="4"/>
  <c r="E63" i="4" s="1"/>
  <c r="E58" i="4"/>
  <c r="D62" i="3"/>
  <c r="C62" i="3"/>
  <c r="B62" i="3"/>
  <c r="D61" i="3"/>
  <c r="C61" i="3"/>
  <c r="F61" i="3" s="1"/>
  <c r="B61" i="3"/>
  <c r="D60" i="3"/>
  <c r="C60" i="3"/>
  <c r="F60" i="3" s="1"/>
  <c r="B60" i="3"/>
  <c r="D59" i="3"/>
  <c r="C59" i="3"/>
  <c r="B59" i="3"/>
  <c r="E59" i="3" s="1"/>
  <c r="D57" i="3"/>
  <c r="C57" i="3"/>
  <c r="B57" i="3"/>
  <c r="E57" i="3" s="1"/>
  <c r="D52" i="3"/>
  <c r="C52" i="3"/>
  <c r="F52" i="3" s="1"/>
  <c r="B52" i="3"/>
  <c r="D30" i="3"/>
  <c r="D41" i="3" s="1"/>
  <c r="C30" i="3"/>
  <c r="D27" i="3"/>
  <c r="C27" i="3"/>
  <c r="B27" i="3"/>
  <c r="D15" i="3"/>
  <c r="D55" i="3" s="1"/>
  <c r="C15" i="3"/>
  <c r="B15" i="3"/>
  <c r="D11" i="3"/>
  <c r="C11" i="3"/>
  <c r="F11" i="3" s="1"/>
  <c r="B11" i="3"/>
  <c r="E11" i="3" s="1"/>
  <c r="F15" i="3" l="1"/>
  <c r="E52" i="3"/>
  <c r="E61" i="3"/>
  <c r="E62" i="3"/>
  <c r="F57" i="3"/>
  <c r="F62" i="3"/>
  <c r="E60" i="3"/>
  <c r="C41" i="3"/>
  <c r="F30" i="3"/>
  <c r="E30" i="3"/>
  <c r="B55" i="3"/>
  <c r="E15" i="3"/>
  <c r="E27" i="3"/>
  <c r="F59" i="3"/>
  <c r="F27" i="3"/>
  <c r="C22" i="3"/>
  <c r="D22" i="3"/>
  <c r="B53" i="3"/>
  <c r="B22" i="3"/>
  <c r="B49" i="3"/>
  <c r="C51" i="3"/>
  <c r="B56" i="3"/>
  <c r="B51" i="3"/>
  <c r="E51" i="3" s="1"/>
  <c r="D51" i="3"/>
  <c r="C56" i="3"/>
  <c r="D56" i="3"/>
  <c r="C55" i="3"/>
  <c r="F55" i="3" s="1"/>
  <c r="F22" i="3" l="1"/>
  <c r="F56" i="3"/>
  <c r="E55" i="3"/>
  <c r="E56" i="3"/>
  <c r="F51" i="3"/>
  <c r="E22" i="3"/>
  <c r="F41" i="3"/>
  <c r="E41" i="3"/>
  <c r="B54" i="3"/>
  <c r="D53" i="3"/>
  <c r="D54" i="3" s="1"/>
  <c r="C53" i="3"/>
  <c r="F53" i="3" s="1"/>
  <c r="C49" i="3"/>
  <c r="D49" i="3"/>
  <c r="F49" i="3" l="1"/>
  <c r="E53" i="3"/>
  <c r="E49" i="3"/>
  <c r="B58" i="3"/>
  <c r="D58" i="3"/>
  <c r="C54" i="3"/>
  <c r="F54" i="3" s="1"/>
  <c r="E54" i="3" l="1"/>
  <c r="B63" i="3"/>
  <c r="C58" i="3"/>
  <c r="F58" i="3" s="1"/>
  <c r="D63" i="3"/>
  <c r="E58" i="3" l="1"/>
  <c r="C63" i="3"/>
  <c r="F63" i="3" s="1"/>
  <c r="B8" i="2"/>
  <c r="E8" i="2" s="1"/>
  <c r="C30" i="2"/>
  <c r="D30" i="2"/>
  <c r="D41" i="2" s="1"/>
  <c r="B30" i="2"/>
  <c r="D10" i="2"/>
  <c r="F10" i="2" s="1"/>
  <c r="D62" i="2"/>
  <c r="C62" i="2"/>
  <c r="F62" i="2" s="1"/>
  <c r="B62" i="2"/>
  <c r="E62" i="2" s="1"/>
  <c r="D61" i="2"/>
  <c r="C61" i="2"/>
  <c r="B61" i="2"/>
  <c r="D60" i="2"/>
  <c r="C60" i="2"/>
  <c r="B60" i="2"/>
  <c r="D59" i="2"/>
  <c r="C59" i="2"/>
  <c r="B59" i="2"/>
  <c r="D57" i="2"/>
  <c r="C57" i="2"/>
  <c r="F57" i="2" s="1"/>
  <c r="B57" i="2"/>
  <c r="E57" i="2" s="1"/>
  <c r="D52" i="2"/>
  <c r="C52" i="2"/>
  <c r="B52" i="2"/>
  <c r="D27" i="2"/>
  <c r="D56" i="2" s="1"/>
  <c r="C27" i="2"/>
  <c r="B27" i="2"/>
  <c r="D15" i="2"/>
  <c r="C15" i="2"/>
  <c r="B15" i="2"/>
  <c r="C11" i="2"/>
  <c r="C27" i="1"/>
  <c r="D27" i="1"/>
  <c r="C59" i="1"/>
  <c r="D59" i="1"/>
  <c r="C60" i="1"/>
  <c r="D60" i="1"/>
  <c r="C61" i="1"/>
  <c r="D61" i="1"/>
  <c r="C62" i="1"/>
  <c r="D62" i="1"/>
  <c r="B62" i="1"/>
  <c r="B61" i="1"/>
  <c r="E61" i="1" s="1"/>
  <c r="B60" i="1"/>
  <c r="E60" i="1" s="1"/>
  <c r="B59" i="1"/>
  <c r="C57" i="1"/>
  <c r="D57" i="1"/>
  <c r="B57" i="1"/>
  <c r="C52" i="1"/>
  <c r="D52" i="1"/>
  <c r="B52" i="1"/>
  <c r="B27" i="1"/>
  <c r="C41" i="1"/>
  <c r="B11" i="1"/>
  <c r="B51" i="1" s="1"/>
  <c r="C11" i="1"/>
  <c r="D11" i="1"/>
  <c r="D51" i="1" s="1"/>
  <c r="D15" i="1"/>
  <c r="D55" i="1" s="1"/>
  <c r="C15" i="1"/>
  <c r="B15" i="1"/>
  <c r="E52" i="1" l="1"/>
  <c r="F60" i="2"/>
  <c r="F62" i="1"/>
  <c r="E60" i="2"/>
  <c r="F59" i="1"/>
  <c r="E59" i="2"/>
  <c r="E59" i="1"/>
  <c r="F57" i="1"/>
  <c r="E61" i="2"/>
  <c r="E11" i="1"/>
  <c r="C51" i="2"/>
  <c r="E62" i="1"/>
  <c r="B55" i="2"/>
  <c r="E15" i="2"/>
  <c r="E27" i="1"/>
  <c r="F15" i="2"/>
  <c r="F59" i="2"/>
  <c r="B41" i="2"/>
  <c r="E30" i="2"/>
  <c r="B56" i="2"/>
  <c r="E27" i="2"/>
  <c r="C41" i="2"/>
  <c r="F41" i="2" s="1"/>
  <c r="F30" i="2"/>
  <c r="F27" i="1"/>
  <c r="F61" i="1"/>
  <c r="C56" i="2"/>
  <c r="F56" i="2" s="1"/>
  <c r="F27" i="2"/>
  <c r="C51" i="1"/>
  <c r="F51" i="1" s="1"/>
  <c r="F11" i="1"/>
  <c r="F52" i="1"/>
  <c r="B55" i="1"/>
  <c r="E15" i="1"/>
  <c r="E57" i="1"/>
  <c r="F60" i="1"/>
  <c r="E52" i="2"/>
  <c r="E63" i="3"/>
  <c r="C55" i="1"/>
  <c r="F55" i="1" s="1"/>
  <c r="F15" i="1"/>
  <c r="F52" i="2"/>
  <c r="F61" i="2"/>
  <c r="C53" i="1"/>
  <c r="D11" i="2"/>
  <c r="D51" i="2" s="1"/>
  <c r="B11" i="2"/>
  <c r="C22" i="2"/>
  <c r="C55" i="2"/>
  <c r="D55" i="2"/>
  <c r="B56" i="1"/>
  <c r="E56" i="1" s="1"/>
  <c r="B41" i="1"/>
  <c r="E41" i="1" s="1"/>
  <c r="C49" i="1"/>
  <c r="D56" i="1"/>
  <c r="C56" i="1"/>
  <c r="B22" i="1"/>
  <c r="D22" i="1"/>
  <c r="C22" i="1"/>
  <c r="F22" i="1" s="1"/>
  <c r="E41" i="2" l="1"/>
  <c r="F56" i="1"/>
  <c r="B49" i="2"/>
  <c r="F55" i="2"/>
  <c r="E55" i="2"/>
  <c r="F51" i="2"/>
  <c r="C54" i="1"/>
  <c r="E51" i="1"/>
  <c r="B53" i="2"/>
  <c r="E22" i="1"/>
  <c r="F11" i="2"/>
  <c r="B51" i="2"/>
  <c r="E51" i="2" s="1"/>
  <c r="E11" i="2"/>
  <c r="E55" i="1"/>
  <c r="E56" i="2"/>
  <c r="D22" i="2"/>
  <c r="F22" i="2" s="1"/>
  <c r="B22" i="2"/>
  <c r="E22" i="2" s="1"/>
  <c r="D53" i="2"/>
  <c r="D49" i="2"/>
  <c r="C53" i="2"/>
  <c r="C49" i="2"/>
  <c r="F49" i="2" s="1"/>
  <c r="D41" i="1"/>
  <c r="F41" i="1" s="1"/>
  <c r="C58" i="1"/>
  <c r="B53" i="1"/>
  <c r="E53" i="1" s="1"/>
  <c r="B49" i="1"/>
  <c r="E49" i="1" s="1"/>
  <c r="E53" i="2" l="1"/>
  <c r="F53" i="2"/>
  <c r="C63" i="1"/>
  <c r="B54" i="2"/>
  <c r="E49" i="2"/>
  <c r="C54" i="2"/>
  <c r="D54" i="2"/>
  <c r="B54" i="1"/>
  <c r="E54" i="1" s="1"/>
  <c r="D49" i="1"/>
  <c r="F49" i="1" s="1"/>
  <c r="D53" i="1"/>
  <c r="F53" i="1" s="1"/>
  <c r="F54" i="2" l="1"/>
  <c r="B58" i="2"/>
  <c r="E54" i="2"/>
  <c r="D58" i="2"/>
  <c r="C58" i="2"/>
  <c r="D54" i="1"/>
  <c r="F54" i="1" s="1"/>
  <c r="B58" i="1"/>
  <c r="E58" i="1" s="1"/>
  <c r="B63" i="2" l="1"/>
  <c r="E58" i="2"/>
  <c r="F58" i="2"/>
  <c r="D63" i="2"/>
  <c r="C63" i="2"/>
  <c r="F63" i="2" s="1"/>
  <c r="B63" i="1"/>
  <c r="E63" i="1" s="1"/>
  <c r="D58" i="1"/>
  <c r="F58" i="1" s="1"/>
  <c r="E63" i="2" l="1"/>
  <c r="D63" i="1"/>
  <c r="F63" i="1" s="1"/>
</calcChain>
</file>

<file path=xl/sharedStrings.xml><?xml version="1.0" encoding="utf-8"?>
<sst xmlns="http://schemas.openxmlformats.org/spreadsheetml/2006/main" count="1612" uniqueCount="87">
  <si>
    <t>CROUS</t>
  </si>
  <si>
    <t>Hébergement étudiants loyers (70671)</t>
  </si>
  <si>
    <t>Restaurations (70672)</t>
  </si>
  <si>
    <t>Produits des activités annexes (708*)</t>
  </si>
  <si>
    <t>Prestations de services (706* sauf 70671 et 70672)</t>
  </si>
  <si>
    <t>Autres produits d'activité (72*, 75* sauf 7571* et 7573*)</t>
  </si>
  <si>
    <t>Evolution 23/22</t>
  </si>
  <si>
    <t>Evolution 24/23</t>
  </si>
  <si>
    <t>A - Produits directs de l'activité</t>
  </si>
  <si>
    <t>B - Achats directs</t>
  </si>
  <si>
    <t>C - Autres consommations directes</t>
  </si>
  <si>
    <t>D - Marge sur activité directe (A - B - C)</t>
  </si>
  <si>
    <t>E - Produits sans contrepartie directe</t>
  </si>
  <si>
    <t>F - Charges de personnel</t>
  </si>
  <si>
    <t>G - Autres charges de fonctionnement et d'intervention</t>
  </si>
  <si>
    <t>H - Excédent brut de fonctionnement (D + E - F - G)</t>
  </si>
  <si>
    <t>I - Autres produits de fonctionnement</t>
  </si>
  <si>
    <t>J - Produits financiers</t>
  </si>
  <si>
    <t>K - Dotations aux amortissements et aux provisions</t>
  </si>
  <si>
    <t>L - Charges financières</t>
  </si>
  <si>
    <t>M - Résultat patrimonial (H + I + J - K - L)</t>
  </si>
  <si>
    <t>Dont électricité</t>
  </si>
  <si>
    <t>Dont carburants</t>
  </si>
  <si>
    <t>Dont gaz</t>
  </si>
  <si>
    <t>Dont chauffage sur réseau</t>
  </si>
  <si>
    <t>Dont eau</t>
  </si>
  <si>
    <t>Dont achats de denrées et boissons (60212 et 60713)</t>
  </si>
  <si>
    <t>TOTAL PRODUITS DE FONCTIONNEMENT</t>
  </si>
  <si>
    <t>TOTAL CHARGES DE FONCTIONNEMENT</t>
  </si>
  <si>
    <t>Subventions de l'Etat (SCSP tous ministères/programmes)</t>
  </si>
  <si>
    <t>ANTILLES ET LA GUYANE</t>
  </si>
  <si>
    <t>BOURGOGNE FRANCHE-COMTE</t>
  </si>
  <si>
    <t>Dont Autres fournitures non stockables</t>
  </si>
  <si>
    <t>BORDEAUX-AQUITAINE</t>
  </si>
  <si>
    <t>CLERMONT-AUVERGNE</t>
  </si>
  <si>
    <t>CORSE</t>
  </si>
  <si>
    <t>CRETEIL</t>
  </si>
  <si>
    <t>GRENOBLE-ALPES</t>
  </si>
  <si>
    <t>LA REUNION ET MAYOTTE</t>
  </si>
  <si>
    <t>Rémunération du personnel (641*)</t>
  </si>
  <si>
    <t>Charges de sécurité sociale et de prévoyance (645*)</t>
  </si>
  <si>
    <t>Autres charges de personnel (64* sauf 641* et 645*)</t>
  </si>
  <si>
    <t>LIMOGES</t>
  </si>
  <si>
    <t>LORRAINE</t>
  </si>
  <si>
    <t>LYON</t>
  </si>
  <si>
    <t>NANTES PAYS DE LA LOIRE</t>
  </si>
  <si>
    <t>AIX-MARSEILLE AVIGNON</t>
  </si>
  <si>
    <t>AMIENS PICARDIE</t>
  </si>
  <si>
    <t>LILLE NORD PAS-DE-CALAIS</t>
  </si>
  <si>
    <t>MONTPELLIER OCCITANIE</t>
  </si>
  <si>
    <t>NICE - TOULON</t>
  </si>
  <si>
    <t>NORMANDIE</t>
  </si>
  <si>
    <t>ORLEANS - TOURS</t>
  </si>
  <si>
    <t>PARIS</t>
  </si>
  <si>
    <t>POITIERS</t>
  </si>
  <si>
    <t>REIMS</t>
  </si>
  <si>
    <t>RENNES BRETAGNE</t>
  </si>
  <si>
    <t>STRASBOURG</t>
  </si>
  <si>
    <t>TOULOUSE OCCITANIE</t>
  </si>
  <si>
    <t>VERSAILLES</t>
  </si>
  <si>
    <t>Fiscalité affectée - CVEC (7571*)</t>
  </si>
  <si>
    <t>Autres subventions (74* hors SCSP et 7573*)</t>
  </si>
  <si>
    <t>= Produits directs de l'activité</t>
  </si>
  <si>
    <t>= Produits sans contrepartie directe</t>
  </si>
  <si>
    <t>Produits financiers (76* et 786*)</t>
  </si>
  <si>
    <t>= Charges de personnel</t>
  </si>
  <si>
    <t>Achats directs (601*, 602*, 607, 609* sauf 6094 et 6095*)</t>
  </si>
  <si>
    <t>Autres charges de fonctionnement (631*, 633*, 65* sauf 6573*)</t>
  </si>
  <si>
    <t>Charges d'intervention (6573*)</t>
  </si>
  <si>
    <t>Charges financières (66* et 686*)</t>
  </si>
  <si>
    <t>Dont Locations et charges locatives résidences étudiantes</t>
  </si>
  <si>
    <t>Reprises sur provisions (7815*)</t>
  </si>
  <si>
    <t>Reprises sur dépréciations de l'actif (7817*)</t>
  </si>
  <si>
    <t>Transferts de charges de fonctionnement (791*)</t>
  </si>
  <si>
    <t>Quote-part reprise au résultats des fin. Actifs (7811 et 7813)</t>
  </si>
  <si>
    <t>= Autres consommations directes (Autres 60*, 61*, 62* et 6094, 6095)</t>
  </si>
  <si>
    <t>Fluides (6061*)</t>
  </si>
  <si>
    <t>Locations (613* et 614*)</t>
  </si>
  <si>
    <t>Entretien maintenance (6063+615*)</t>
  </si>
  <si>
    <t>Moyens des services (Autres 60*, 61*, 62* et 6094, 6095)</t>
  </si>
  <si>
    <t>Dotations aux amortissements (6811)</t>
  </si>
  <si>
    <t>Dotations aux provisions (6815)</t>
  </si>
  <si>
    <t>Dotations aux dépréciations de l'actif (6817)</t>
  </si>
  <si>
    <t>= Amortissements et reprises sur provisions (656* en 2022 et 68*)</t>
  </si>
  <si>
    <t>= Autres produits de fonctionnement (78* sauf 786* et 791*)</t>
  </si>
  <si>
    <t>Amortissements sur ressources propres</t>
  </si>
  <si>
    <t>EVOLUTION COMPTE DE RESULTAT ET DECOMPOSITION DU RESULTAT PAR AGREGATS FINANCIERS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</si>
</sst>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0.0%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9"/>
      <color theme="1"/>
      <name val="Marianne"/>
      <family val="3"/>
    </font>
    <font>
      <b/>
      <sz val="9"/>
      <color theme="1"/>
      <name val="Marianne"/>
      <family val="3"/>
    </font>
    <font>
      <i/>
      <sz val="9"/>
      <color theme="1"/>
      <name val="Marianne"/>
      <family val="3"/>
    </font>
    <font>
      <i/>
      <sz val="8"/>
      <color theme="1"/>
      <name val="Marianne"/>
      <family val="3"/>
    </font>
    <font>
      <b/>
      <sz val="9"/>
      <color indexed="8"/>
      <name val="Marianne"/>
      <family val="3"/>
    </font>
    <font>
      <sz val="8"/>
      <color theme="1"/>
      <name val="Marianne"/>
      <family val="3"/>
    </font>
    <font>
      <sz val="8"/>
      <color indexed="8"/>
      <name val="Marianne"/>
      <family val="3"/>
    </font>
    <font>
      <sz val="9"/>
      <color indexed="8"/>
      <name val="Marianne"/>
      <family val="3"/>
    </font>
    <font>
      <b/>
      <sz val="12"/>
      <color indexed="8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2">
    <xf numFmtId="0" fontId="0" fillId="0" borderId="0" xfId="0"/>
    <xf numFmtId="0" fontId="2" fillId="0" borderId="0" xfId="0" applyFont="1" applyAlignment="1">
      <alignment vertical="center"/>
    </xf>
    <xf numFmtId="44" fontId="2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44" fontId="3" fillId="0" borderId="0" xfId="1" applyFont="1" applyAlignment="1">
      <alignment vertical="center"/>
    </xf>
    <xf numFmtId="164" fontId="2" fillId="0" borderId="0" xfId="2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" fillId="8" borderId="0" xfId="0" applyFont="1" applyFill="1" applyAlignment="1">
      <alignment vertical="center"/>
    </xf>
    <xf numFmtId="6" fontId="2" fillId="0" borderId="0" xfId="1" applyNumberFormat="1" applyFont="1" applyAlignment="1">
      <alignment vertical="center"/>
    </xf>
    <xf numFmtId="0" fontId="11" fillId="0" borderId="0" xfId="0" applyFont="1" applyAlignment="1">
      <alignment vertical="center"/>
    </xf>
    <xf numFmtId="44" fontId="11" fillId="0" borderId="0" xfId="1" applyFont="1" applyAlignment="1">
      <alignment vertical="center"/>
    </xf>
    <xf numFmtId="44" fontId="12" fillId="0" borderId="0" xfId="1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4" fontId="10" fillId="0" borderId="0" xfId="1" applyFont="1" applyAlignment="1">
      <alignment vertical="center"/>
    </xf>
    <xf numFmtId="44" fontId="2" fillId="0" borderId="1" xfId="1" applyFont="1" applyBorder="1" applyAlignment="1">
      <alignment vertical="center"/>
    </xf>
    <xf numFmtId="164" fontId="2" fillId="0" borderId="1" xfId="2" applyNumberFormat="1" applyFont="1" applyBorder="1" applyAlignment="1">
      <alignment vertical="center"/>
    </xf>
    <xf numFmtId="44" fontId="3" fillId="7" borderId="1" xfId="1" applyFont="1" applyFill="1" applyBorder="1" applyAlignment="1">
      <alignment vertical="center"/>
    </xf>
    <xf numFmtId="164" fontId="3" fillId="7" borderId="1" xfId="2" applyNumberFormat="1" applyFont="1" applyFill="1" applyBorder="1" applyAlignment="1">
      <alignment vertical="center"/>
    </xf>
    <xf numFmtId="44" fontId="6" fillId="7" borderId="1" xfId="1" applyFont="1" applyFill="1" applyBorder="1" applyAlignment="1">
      <alignment vertical="center"/>
    </xf>
    <xf numFmtId="164" fontId="6" fillId="7" borderId="1" xfId="2" applyNumberFormat="1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44" fontId="2" fillId="0" borderId="4" xfId="1" applyFont="1" applyBorder="1" applyAlignment="1">
      <alignment vertical="center"/>
    </xf>
    <xf numFmtId="164" fontId="2" fillId="0" borderId="4" xfId="2" applyNumberFormat="1" applyFont="1" applyBorder="1" applyAlignment="1">
      <alignment vertical="center"/>
    </xf>
    <xf numFmtId="164" fontId="2" fillId="0" borderId="5" xfId="2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2" fillId="0" borderId="7" xfId="2" applyNumberFormat="1" applyFont="1" applyBorder="1" applyAlignment="1">
      <alignment vertical="center"/>
    </xf>
    <xf numFmtId="0" fontId="6" fillId="7" borderId="6" xfId="0" quotePrefix="1" applyFont="1" applyFill="1" applyBorder="1" applyAlignment="1">
      <alignment vertical="center"/>
    </xf>
    <xf numFmtId="164" fontId="6" fillId="7" borderId="7" xfId="2" applyNumberFormat="1" applyFont="1" applyFill="1" applyBorder="1" applyAlignment="1">
      <alignment vertical="center"/>
    </xf>
    <xf numFmtId="0" fontId="6" fillId="7" borderId="6" xfId="0" applyFont="1" applyFill="1" applyBorder="1" applyAlignment="1">
      <alignment vertical="center"/>
    </xf>
    <xf numFmtId="164" fontId="3" fillId="4" borderId="7" xfId="2" applyNumberFormat="1" applyFont="1" applyFill="1" applyBorder="1" applyAlignment="1">
      <alignment vertical="center"/>
    </xf>
    <xf numFmtId="164" fontId="3" fillId="5" borderId="7" xfId="2" applyNumberFormat="1" applyFont="1" applyFill="1" applyBorder="1" applyAlignment="1">
      <alignment vertical="center"/>
    </xf>
    <xf numFmtId="164" fontId="3" fillId="6" borderId="10" xfId="2" applyNumberFormat="1" applyFont="1" applyFill="1" applyBorder="1" applyAlignment="1">
      <alignment vertical="center"/>
    </xf>
    <xf numFmtId="0" fontId="3" fillId="7" borderId="6" xfId="0" quotePrefix="1" applyFont="1" applyFill="1" applyBorder="1" applyAlignment="1">
      <alignment vertical="center"/>
    </xf>
    <xf numFmtId="164" fontId="3" fillId="7" borderId="7" xfId="2" applyNumberFormat="1" applyFont="1" applyFill="1" applyBorder="1" applyAlignment="1">
      <alignment vertical="center"/>
    </xf>
    <xf numFmtId="0" fontId="3" fillId="7" borderId="6" xfId="0" applyFont="1" applyFill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3" fillId="4" borderId="11" xfId="0" applyFont="1" applyFill="1" applyBorder="1" applyAlignment="1">
      <alignment vertical="center"/>
    </xf>
    <xf numFmtId="0" fontId="3" fillId="5" borderId="11" xfId="0" applyFont="1" applyFill="1" applyBorder="1" applyAlignment="1">
      <alignment vertical="center"/>
    </xf>
    <xf numFmtId="0" fontId="3" fillId="6" borderId="12" xfId="0" applyFont="1" applyFill="1" applyBorder="1" applyAlignment="1">
      <alignment vertical="center"/>
    </xf>
    <xf numFmtId="44" fontId="2" fillId="0" borderId="15" xfId="1" applyFont="1" applyBorder="1" applyAlignment="1">
      <alignment vertical="center"/>
    </xf>
    <xf numFmtId="44" fontId="2" fillId="0" borderId="16" xfId="1" applyFont="1" applyBorder="1" applyAlignment="1">
      <alignment vertical="center"/>
    </xf>
    <xf numFmtId="44" fontId="3" fillId="4" borderId="16" xfId="1" applyFont="1" applyFill="1" applyBorder="1" applyAlignment="1">
      <alignment vertical="center"/>
    </xf>
    <xf numFmtId="44" fontId="3" fillId="5" borderId="16" xfId="1" applyFont="1" applyFill="1" applyBorder="1" applyAlignment="1">
      <alignment vertical="center"/>
    </xf>
    <xf numFmtId="44" fontId="3" fillId="6" borderId="17" xfId="1" applyFont="1" applyFill="1" applyBorder="1" applyAlignment="1">
      <alignment vertical="center"/>
    </xf>
    <xf numFmtId="44" fontId="2" fillId="0" borderId="18" xfId="1" applyFont="1" applyBorder="1" applyAlignment="1">
      <alignment vertical="center"/>
    </xf>
    <xf numFmtId="44" fontId="3" fillId="4" borderId="18" xfId="1" applyFont="1" applyFill="1" applyBorder="1" applyAlignment="1">
      <alignment vertical="center"/>
    </xf>
    <xf numFmtId="44" fontId="3" fillId="5" borderId="18" xfId="1" applyFont="1" applyFill="1" applyBorder="1" applyAlignment="1">
      <alignment vertical="center"/>
    </xf>
    <xf numFmtId="44" fontId="3" fillId="6" borderId="19" xfId="1" applyFont="1" applyFill="1" applyBorder="1" applyAlignment="1">
      <alignment vertical="center"/>
    </xf>
    <xf numFmtId="164" fontId="2" fillId="0" borderId="13" xfId="2" applyNumberFormat="1" applyFont="1" applyBorder="1" applyAlignment="1">
      <alignment vertical="center"/>
    </xf>
    <xf numFmtId="164" fontId="3" fillId="4" borderId="13" xfId="2" applyNumberFormat="1" applyFont="1" applyFill="1" applyBorder="1" applyAlignment="1">
      <alignment vertical="center"/>
    </xf>
    <xf numFmtId="164" fontId="3" fillId="5" borderId="13" xfId="2" applyNumberFormat="1" applyFont="1" applyFill="1" applyBorder="1" applyAlignment="1">
      <alignment vertical="center"/>
    </xf>
    <xf numFmtId="164" fontId="3" fillId="6" borderId="14" xfId="2" applyNumberFormat="1" applyFont="1" applyFill="1" applyBorder="1" applyAlignment="1">
      <alignment vertical="center"/>
    </xf>
    <xf numFmtId="0" fontId="2" fillId="0" borderId="20" xfId="0" applyFont="1" applyBorder="1" applyAlignment="1">
      <alignment vertical="center"/>
    </xf>
    <xf numFmtId="44" fontId="2" fillId="0" borderId="21" xfId="1" applyFont="1" applyBorder="1" applyAlignment="1">
      <alignment vertical="center"/>
    </xf>
    <xf numFmtId="164" fontId="2" fillId="0" borderId="22" xfId="2" applyNumberFormat="1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44" fontId="2" fillId="0" borderId="23" xfId="1" applyFont="1" applyBorder="1" applyAlignment="1">
      <alignment vertical="center"/>
    </xf>
    <xf numFmtId="164" fontId="2" fillId="0" borderId="23" xfId="2" applyNumberFormat="1" applyFont="1" applyBorder="1" applyAlignment="1">
      <alignment vertical="center"/>
    </xf>
    <xf numFmtId="0" fontId="3" fillId="0" borderId="27" xfId="1" applyNumberFormat="1" applyFont="1" applyBorder="1" applyAlignment="1">
      <alignment horizontal="center" vertical="center" wrapText="1"/>
    </xf>
    <xf numFmtId="0" fontId="3" fillId="7" borderId="11" xfId="0" quotePrefix="1" applyFont="1" applyFill="1" applyBorder="1" applyAlignment="1">
      <alignment vertical="center"/>
    </xf>
    <xf numFmtId="0" fontId="6" fillId="7" borderId="11" xfId="0" quotePrefix="1" applyFont="1" applyFill="1" applyBorder="1" applyAlignment="1">
      <alignment vertical="center"/>
    </xf>
    <xf numFmtId="0" fontId="3" fillId="0" borderId="2" xfId="1" applyNumberFormat="1" applyFont="1" applyBorder="1" applyAlignment="1">
      <alignment horizontal="center" vertical="center"/>
    </xf>
    <xf numFmtId="44" fontId="3" fillId="7" borderId="16" xfId="1" applyFont="1" applyFill="1" applyBorder="1" applyAlignment="1">
      <alignment vertical="center"/>
    </xf>
    <xf numFmtId="44" fontId="6" fillId="7" borderId="16" xfId="1" applyFont="1" applyFill="1" applyBorder="1" applyAlignment="1">
      <alignment vertical="center"/>
    </xf>
    <xf numFmtId="0" fontId="3" fillId="0" borderId="29" xfId="1" applyNumberFormat="1" applyFont="1" applyBorder="1" applyAlignment="1">
      <alignment horizontal="center" vertical="center"/>
    </xf>
    <xf numFmtId="44" fontId="3" fillId="7" borderId="18" xfId="1" applyFont="1" applyFill="1" applyBorder="1" applyAlignment="1">
      <alignment vertical="center"/>
    </xf>
    <xf numFmtId="44" fontId="6" fillId="7" borderId="18" xfId="1" applyFont="1" applyFill="1" applyBorder="1" applyAlignment="1">
      <alignment vertical="center"/>
    </xf>
    <xf numFmtId="0" fontId="3" fillId="0" borderId="28" xfId="1" applyNumberFormat="1" applyFont="1" applyBorder="1" applyAlignment="1">
      <alignment horizontal="center" vertical="center" wrapText="1"/>
    </xf>
    <xf numFmtId="164" fontId="3" fillId="7" borderId="13" xfId="2" applyNumberFormat="1" applyFont="1" applyFill="1" applyBorder="1" applyAlignment="1">
      <alignment vertical="center"/>
    </xf>
    <xf numFmtId="164" fontId="6" fillId="7" borderId="13" xfId="2" applyNumberFormat="1" applyFont="1" applyFill="1" applyBorder="1" applyAlignment="1">
      <alignment vertical="center"/>
    </xf>
    <xf numFmtId="0" fontId="6" fillId="7" borderId="30" xfId="0" applyFont="1" applyFill="1" applyBorder="1" applyAlignment="1">
      <alignment vertical="center"/>
    </xf>
    <xf numFmtId="44" fontId="6" fillId="7" borderId="31" xfId="1" applyFont="1" applyFill="1" applyBorder="1" applyAlignment="1">
      <alignment vertical="center"/>
    </xf>
    <xf numFmtId="44" fontId="6" fillId="7" borderId="32" xfId="1" applyFont="1" applyFill="1" applyBorder="1" applyAlignment="1">
      <alignment vertical="center"/>
    </xf>
    <xf numFmtId="164" fontId="6" fillId="7" borderId="33" xfId="2" applyNumberFormat="1" applyFont="1" applyFill="1" applyBorder="1" applyAlignment="1">
      <alignment vertical="center"/>
    </xf>
    <xf numFmtId="164" fontId="6" fillId="7" borderId="34" xfId="2" applyNumberFormat="1" applyFont="1" applyFill="1" applyBorder="1" applyAlignment="1">
      <alignment vertical="center"/>
    </xf>
    <xf numFmtId="0" fontId="3" fillId="7" borderId="30" xfId="0" applyFont="1" applyFill="1" applyBorder="1" applyAlignment="1">
      <alignment vertical="center"/>
    </xf>
    <xf numFmtId="44" fontId="3" fillId="7" borderId="31" xfId="1" applyFont="1" applyFill="1" applyBorder="1" applyAlignment="1">
      <alignment vertical="center"/>
    </xf>
    <xf numFmtId="44" fontId="3" fillId="7" borderId="32" xfId="1" applyFont="1" applyFill="1" applyBorder="1" applyAlignment="1">
      <alignment vertical="center"/>
    </xf>
    <xf numFmtId="164" fontId="3" fillId="7" borderId="33" xfId="2" applyNumberFormat="1" applyFont="1" applyFill="1" applyBorder="1" applyAlignment="1">
      <alignment vertical="center"/>
    </xf>
    <xf numFmtId="164" fontId="3" fillId="7" borderId="34" xfId="2" applyNumberFormat="1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4" fontId="3" fillId="3" borderId="2" xfId="1" applyFont="1" applyFill="1" applyBorder="1" applyAlignment="1">
      <alignment vertical="center"/>
    </xf>
    <xf numFmtId="44" fontId="3" fillId="3" borderId="29" xfId="1" applyFont="1" applyFill="1" applyBorder="1" applyAlignment="1">
      <alignment vertical="center"/>
    </xf>
    <xf numFmtId="164" fontId="3" fillId="3" borderId="28" xfId="2" applyNumberFormat="1" applyFont="1" applyFill="1" applyBorder="1" applyAlignment="1">
      <alignment vertical="center"/>
    </xf>
    <xf numFmtId="164" fontId="3" fillId="3" borderId="27" xfId="2" applyNumberFormat="1" applyFont="1" applyFill="1" applyBorder="1" applyAlignment="1">
      <alignment vertical="center"/>
    </xf>
    <xf numFmtId="0" fontId="6" fillId="7" borderId="36" xfId="0" quotePrefix="1" applyFont="1" applyFill="1" applyBorder="1" applyAlignment="1">
      <alignment vertical="center"/>
    </xf>
    <xf numFmtId="44" fontId="6" fillId="7" borderId="24" xfId="1" applyFont="1" applyFill="1" applyBorder="1" applyAlignment="1">
      <alignment vertical="center"/>
    </xf>
    <xf numFmtId="164" fontId="6" fillId="7" borderId="24" xfId="2" applyNumberFormat="1" applyFont="1" applyFill="1" applyBorder="1" applyAlignment="1">
      <alignment vertical="center"/>
    </xf>
    <xf numFmtId="0" fontId="3" fillId="7" borderId="36" xfId="0" quotePrefix="1" applyFont="1" applyFill="1" applyBorder="1" applyAlignment="1">
      <alignment vertical="center"/>
    </xf>
    <xf numFmtId="44" fontId="3" fillId="7" borderId="24" xfId="1" applyFont="1" applyFill="1" applyBorder="1" applyAlignment="1">
      <alignment vertical="center"/>
    </xf>
    <xf numFmtId="164" fontId="3" fillId="7" borderId="24" xfId="2" applyNumberFormat="1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44" fontId="3" fillId="2" borderId="26" xfId="1" applyFont="1" applyFill="1" applyBorder="1" applyAlignment="1">
      <alignment vertical="center"/>
    </xf>
    <xf numFmtId="164" fontId="3" fillId="2" borderId="26" xfId="2" applyNumberFormat="1" applyFont="1" applyFill="1" applyBorder="1" applyAlignment="1">
      <alignment vertical="center"/>
    </xf>
    <xf numFmtId="164" fontId="3" fillId="2" borderId="27" xfId="2" applyNumberFormat="1" applyFont="1" applyFill="1" applyBorder="1" applyAlignment="1">
      <alignment vertical="center"/>
    </xf>
    <xf numFmtId="0" fontId="2" fillId="0" borderId="37" xfId="0" applyFont="1" applyBorder="1" applyAlignment="1">
      <alignment vertical="center"/>
    </xf>
    <xf numFmtId="44" fontId="2" fillId="0" borderId="38" xfId="1" applyFont="1" applyBorder="1" applyAlignment="1">
      <alignment vertical="center"/>
    </xf>
    <xf numFmtId="44" fontId="2" fillId="0" borderId="39" xfId="1" applyFont="1" applyBorder="1" applyAlignment="1">
      <alignment vertical="center"/>
    </xf>
    <xf numFmtId="164" fontId="2" fillId="0" borderId="40" xfId="2" applyNumberFormat="1" applyFont="1" applyBorder="1" applyAlignment="1">
      <alignment vertical="center"/>
    </xf>
    <xf numFmtId="164" fontId="2" fillId="0" borderId="41" xfId="2" applyNumberFormat="1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44" fontId="2" fillId="0" borderId="43" xfId="1" applyFont="1" applyBorder="1" applyAlignment="1">
      <alignment vertical="center"/>
    </xf>
    <xf numFmtId="44" fontId="2" fillId="0" borderId="44" xfId="1" applyFont="1" applyBorder="1" applyAlignment="1">
      <alignment vertical="center"/>
    </xf>
    <xf numFmtId="164" fontId="2" fillId="0" borderId="45" xfId="2" applyNumberFormat="1" applyFont="1" applyBorder="1" applyAlignment="1">
      <alignment vertical="center"/>
    </xf>
    <xf numFmtId="164" fontId="2" fillId="0" borderId="46" xfId="2" applyNumberFormat="1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44" fontId="2" fillId="0" borderId="48" xfId="1" applyFont="1" applyBorder="1" applyAlignment="1">
      <alignment vertical="center"/>
    </xf>
    <xf numFmtId="44" fontId="2" fillId="0" borderId="49" xfId="1" applyFont="1" applyBorder="1" applyAlignment="1">
      <alignment vertical="center"/>
    </xf>
    <xf numFmtId="164" fontId="2" fillId="0" borderId="50" xfId="2" applyNumberFormat="1" applyFont="1" applyBorder="1" applyAlignment="1">
      <alignment vertical="center"/>
    </xf>
    <xf numFmtId="164" fontId="2" fillId="0" borderId="51" xfId="2" applyNumberFormat="1" applyFont="1" applyBorder="1" applyAlignment="1">
      <alignment vertical="center"/>
    </xf>
    <xf numFmtId="0" fontId="2" fillId="0" borderId="52" xfId="0" applyFont="1" applyBorder="1" applyAlignment="1">
      <alignment vertical="center"/>
    </xf>
    <xf numFmtId="44" fontId="2" fillId="0" borderId="53" xfId="1" applyFont="1" applyBorder="1" applyAlignment="1">
      <alignment vertical="center"/>
    </xf>
    <xf numFmtId="44" fontId="2" fillId="0" borderId="54" xfId="1" applyFont="1" applyBorder="1" applyAlignment="1">
      <alignment vertical="center"/>
    </xf>
    <xf numFmtId="164" fontId="2" fillId="0" borderId="55" xfId="2" applyNumberFormat="1" applyFont="1" applyBorder="1" applyAlignment="1">
      <alignment vertical="center"/>
    </xf>
    <xf numFmtId="164" fontId="2" fillId="0" borderId="56" xfId="2" applyNumberFormat="1" applyFont="1" applyBorder="1" applyAlignment="1">
      <alignment vertical="center"/>
    </xf>
    <xf numFmtId="0" fontId="9" fillId="8" borderId="52" xfId="0" applyFont="1" applyFill="1" applyBorder="1" applyAlignment="1">
      <alignment vertical="center"/>
    </xf>
    <xf numFmtId="44" fontId="9" fillId="8" borderId="53" xfId="1" applyFont="1" applyFill="1" applyBorder="1" applyAlignment="1">
      <alignment vertical="center"/>
    </xf>
    <xf numFmtId="44" fontId="9" fillId="8" borderId="54" xfId="1" applyFont="1" applyFill="1" applyBorder="1" applyAlignment="1">
      <alignment vertical="center"/>
    </xf>
    <xf numFmtId="164" fontId="9" fillId="8" borderId="55" xfId="2" applyNumberFormat="1" applyFont="1" applyFill="1" applyBorder="1" applyAlignment="1">
      <alignment vertical="center"/>
    </xf>
    <xf numFmtId="164" fontId="9" fillId="8" borderId="56" xfId="2" applyNumberFormat="1" applyFont="1" applyFill="1" applyBorder="1" applyAlignment="1">
      <alignment vertical="center"/>
    </xf>
    <xf numFmtId="0" fontId="9" fillId="8" borderId="42" xfId="0" applyFont="1" applyFill="1" applyBorder="1" applyAlignment="1">
      <alignment vertical="center"/>
    </xf>
    <xf numFmtId="44" fontId="9" fillId="8" borderId="43" xfId="1" applyFont="1" applyFill="1" applyBorder="1" applyAlignment="1">
      <alignment vertical="center"/>
    </xf>
    <xf numFmtId="44" fontId="9" fillId="8" borderId="44" xfId="1" applyFont="1" applyFill="1" applyBorder="1" applyAlignment="1">
      <alignment vertical="center"/>
    </xf>
    <xf numFmtId="164" fontId="9" fillId="8" borderId="45" xfId="2" applyNumberFormat="1" applyFont="1" applyFill="1" applyBorder="1" applyAlignment="1">
      <alignment vertical="center"/>
    </xf>
    <xf numFmtId="164" fontId="9" fillId="8" borderId="46" xfId="2" applyNumberFormat="1" applyFont="1" applyFill="1" applyBorder="1" applyAlignment="1">
      <alignment vertical="center"/>
    </xf>
    <xf numFmtId="0" fontId="9" fillId="8" borderId="47" xfId="0" applyFont="1" applyFill="1" applyBorder="1" applyAlignment="1">
      <alignment vertical="center"/>
    </xf>
    <xf numFmtId="44" fontId="9" fillId="8" borderId="48" xfId="1" applyFont="1" applyFill="1" applyBorder="1" applyAlignment="1">
      <alignment vertical="center"/>
    </xf>
    <xf numFmtId="44" fontId="9" fillId="8" borderId="49" xfId="1" applyFont="1" applyFill="1" applyBorder="1" applyAlignment="1">
      <alignment vertical="center"/>
    </xf>
    <xf numFmtId="164" fontId="9" fillId="8" borderId="50" xfId="2" applyNumberFormat="1" applyFont="1" applyFill="1" applyBorder="1" applyAlignment="1">
      <alignment vertical="center"/>
    </xf>
    <xf numFmtId="164" fontId="9" fillId="8" borderId="51" xfId="2" applyNumberFormat="1" applyFont="1" applyFill="1" applyBorder="1" applyAlignment="1">
      <alignment vertical="center"/>
    </xf>
    <xf numFmtId="44" fontId="0" fillId="0" borderId="53" xfId="1" applyFont="1" applyBorder="1"/>
    <xf numFmtId="44" fontId="0" fillId="0" borderId="54" xfId="1" applyFont="1" applyBorder="1"/>
    <xf numFmtId="44" fontId="0" fillId="0" borderId="43" xfId="1" applyFont="1" applyBorder="1"/>
    <xf numFmtId="44" fontId="0" fillId="0" borderId="44" xfId="1" applyFont="1" applyBorder="1"/>
    <xf numFmtId="0" fontId="2" fillId="8" borderId="52" xfId="0" applyFont="1" applyFill="1" applyBorder="1" applyAlignment="1">
      <alignment vertical="center"/>
    </xf>
    <xf numFmtId="44" fontId="2" fillId="8" borderId="53" xfId="1" applyFont="1" applyFill="1" applyBorder="1" applyAlignment="1">
      <alignment vertical="center"/>
    </xf>
    <xf numFmtId="44" fontId="2" fillId="8" borderId="54" xfId="1" applyFont="1" applyFill="1" applyBorder="1" applyAlignment="1">
      <alignment vertical="center"/>
    </xf>
    <xf numFmtId="164" fontId="2" fillId="8" borderId="55" xfId="2" applyNumberFormat="1" applyFont="1" applyFill="1" applyBorder="1" applyAlignment="1">
      <alignment vertical="center"/>
    </xf>
    <xf numFmtId="164" fontId="2" fillId="8" borderId="56" xfId="2" applyNumberFormat="1" applyFont="1" applyFill="1" applyBorder="1" applyAlignment="1">
      <alignment vertical="center"/>
    </xf>
    <xf numFmtId="0" fontId="2" fillId="8" borderId="42" xfId="0" applyFont="1" applyFill="1" applyBorder="1" applyAlignment="1">
      <alignment vertical="center"/>
    </xf>
    <xf numFmtId="44" fontId="2" fillId="8" borderId="43" xfId="1" applyFont="1" applyFill="1" applyBorder="1" applyAlignment="1">
      <alignment vertical="center"/>
    </xf>
    <xf numFmtId="44" fontId="2" fillId="8" borderId="44" xfId="1" applyFont="1" applyFill="1" applyBorder="1" applyAlignment="1">
      <alignment vertical="center"/>
    </xf>
    <xf numFmtId="164" fontId="2" fillId="8" borderId="45" xfId="2" applyNumberFormat="1" applyFont="1" applyFill="1" applyBorder="1" applyAlignment="1">
      <alignment vertical="center"/>
    </xf>
    <xf numFmtId="164" fontId="2" fillId="8" borderId="46" xfId="2" applyNumberFormat="1" applyFont="1" applyFill="1" applyBorder="1" applyAlignment="1">
      <alignment vertical="center"/>
    </xf>
    <xf numFmtId="0" fontId="2" fillId="8" borderId="47" xfId="0" applyFont="1" applyFill="1" applyBorder="1" applyAlignment="1">
      <alignment vertical="center"/>
    </xf>
    <xf numFmtId="44" fontId="2" fillId="8" borderId="48" xfId="1" applyFont="1" applyFill="1" applyBorder="1" applyAlignment="1">
      <alignment vertical="center"/>
    </xf>
    <xf numFmtId="44" fontId="2" fillId="8" borderId="49" xfId="1" applyFont="1" applyFill="1" applyBorder="1" applyAlignment="1">
      <alignment vertical="center"/>
    </xf>
    <xf numFmtId="164" fontId="2" fillId="8" borderId="50" xfId="2" applyNumberFormat="1" applyFont="1" applyFill="1" applyBorder="1" applyAlignment="1">
      <alignment vertical="center"/>
    </xf>
    <xf numFmtId="164" fontId="2" fillId="8" borderId="51" xfId="2" applyNumberFormat="1" applyFont="1" applyFill="1" applyBorder="1" applyAlignment="1">
      <alignment vertical="center"/>
    </xf>
    <xf numFmtId="0" fontId="2" fillId="0" borderId="57" xfId="0" applyFont="1" applyBorder="1" applyAlignment="1">
      <alignment vertical="center"/>
    </xf>
    <xf numFmtId="44" fontId="2" fillId="0" borderId="58" xfId="1" applyFont="1" applyBorder="1" applyAlignment="1">
      <alignment vertical="center"/>
    </xf>
    <xf numFmtId="164" fontId="2" fillId="0" borderId="58" xfId="2" applyNumberFormat="1" applyFont="1" applyBorder="1" applyAlignment="1">
      <alignment vertical="center"/>
    </xf>
    <xf numFmtId="0" fontId="2" fillId="0" borderId="59" xfId="0" applyFont="1" applyBorder="1" applyAlignment="1">
      <alignment vertical="center"/>
    </xf>
    <xf numFmtId="44" fontId="2" fillId="0" borderId="60" xfId="1" applyFont="1" applyBorder="1" applyAlignment="1">
      <alignment vertical="center"/>
    </xf>
    <xf numFmtId="164" fontId="2" fillId="0" borderId="60" xfId="2" applyNumberFormat="1" applyFont="1" applyBorder="1" applyAlignment="1">
      <alignment vertical="center"/>
    </xf>
    <xf numFmtId="0" fontId="2" fillId="0" borderId="61" xfId="0" applyFont="1" applyBorder="1" applyAlignment="1">
      <alignment vertical="center"/>
    </xf>
    <xf numFmtId="44" fontId="2" fillId="0" borderId="62" xfId="1" applyFont="1" applyBorder="1" applyAlignment="1">
      <alignment vertical="center"/>
    </xf>
    <xf numFmtId="164" fontId="2" fillId="0" borderId="62" xfId="2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44" fontId="9" fillId="0" borderId="0" xfId="0" applyNumberFormat="1" applyFont="1" applyAlignment="1">
      <alignment vertical="center"/>
    </xf>
    <xf numFmtId="0" fontId="7" fillId="0" borderId="59" xfId="0" applyFont="1" applyBorder="1" applyAlignment="1">
      <alignment horizontal="right" vertical="center"/>
    </xf>
    <xf numFmtId="44" fontId="7" fillId="0" borderId="60" xfId="1" applyFont="1" applyBorder="1" applyAlignment="1">
      <alignment vertical="center"/>
    </xf>
    <xf numFmtId="164" fontId="7" fillId="0" borderId="60" xfId="2" applyNumberFormat="1" applyFont="1" applyBorder="1" applyAlignment="1">
      <alignment vertical="center"/>
    </xf>
    <xf numFmtId="164" fontId="7" fillId="0" borderId="46" xfId="2" applyNumberFormat="1" applyFont="1" applyBorder="1" applyAlignment="1">
      <alignment vertical="center"/>
    </xf>
    <xf numFmtId="164" fontId="9" fillId="0" borderId="60" xfId="2" applyNumberFormat="1" applyFont="1" applyBorder="1" applyAlignment="1">
      <alignment vertical="center"/>
    </xf>
    <xf numFmtId="164" fontId="9" fillId="0" borderId="46" xfId="2" applyNumberFormat="1" applyFont="1" applyBorder="1" applyAlignment="1">
      <alignment vertical="center"/>
    </xf>
    <xf numFmtId="0" fontId="9" fillId="0" borderId="59" xfId="0" applyFont="1" applyBorder="1" applyAlignment="1">
      <alignment vertical="center"/>
    </xf>
    <xf numFmtId="44" fontId="9" fillId="0" borderId="60" xfId="1" applyFont="1" applyBorder="1" applyAlignment="1">
      <alignment vertical="center"/>
    </xf>
    <xf numFmtId="0" fontId="8" fillId="0" borderId="59" xfId="0" applyFont="1" applyBorder="1" applyAlignment="1">
      <alignment horizontal="right" vertical="center"/>
    </xf>
    <xf numFmtId="44" fontId="8" fillId="0" borderId="60" xfId="1" applyFont="1" applyBorder="1" applyAlignment="1">
      <alignment vertical="center"/>
    </xf>
    <xf numFmtId="0" fontId="9" fillId="0" borderId="61" xfId="0" applyFont="1" applyBorder="1" applyAlignment="1">
      <alignment vertical="center"/>
    </xf>
    <xf numFmtId="44" fontId="9" fillId="0" borderId="62" xfId="1" applyFont="1" applyBorder="1" applyAlignment="1">
      <alignment vertical="center"/>
    </xf>
    <xf numFmtId="164" fontId="9" fillId="0" borderId="62" xfId="2" applyNumberFormat="1" applyFont="1" applyBorder="1" applyAlignment="1">
      <alignment vertical="center"/>
    </xf>
    <xf numFmtId="164" fontId="9" fillId="0" borderId="51" xfId="2" applyNumberFormat="1" applyFont="1" applyBorder="1" applyAlignment="1">
      <alignment vertical="center"/>
    </xf>
    <xf numFmtId="0" fontId="9" fillId="0" borderId="60" xfId="2" applyNumberFormat="1" applyFont="1" applyBorder="1" applyAlignment="1">
      <alignment vertical="center"/>
    </xf>
    <xf numFmtId="0" fontId="9" fillId="0" borderId="46" xfId="2" applyNumberFormat="1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8" fillId="0" borderId="63" xfId="0" applyFont="1" applyBorder="1" applyAlignment="1">
      <alignment horizontal="right" vertical="center"/>
    </xf>
    <xf numFmtId="44" fontId="8" fillId="0" borderId="64" xfId="1" applyFont="1" applyBorder="1" applyAlignment="1">
      <alignment vertical="center"/>
    </xf>
    <xf numFmtId="164" fontId="8" fillId="0" borderId="64" xfId="2" applyNumberFormat="1" applyFont="1" applyBorder="1" applyAlignment="1">
      <alignment vertical="center"/>
    </xf>
    <xf numFmtId="164" fontId="8" fillId="0" borderId="56" xfId="2" applyNumberFormat="1" applyFont="1" applyBorder="1" applyAlignment="1">
      <alignment vertical="center"/>
    </xf>
    <xf numFmtId="0" fontId="9" fillId="0" borderId="63" xfId="0" applyFont="1" applyBorder="1" applyAlignment="1">
      <alignment vertical="center"/>
    </xf>
    <xf numFmtId="44" fontId="9" fillId="0" borderId="64" xfId="1" applyFont="1" applyFill="1" applyBorder="1" applyAlignment="1">
      <alignment vertical="center"/>
    </xf>
    <xf numFmtId="164" fontId="9" fillId="0" borderId="64" xfId="2" applyNumberFormat="1" applyFont="1" applyFill="1" applyBorder="1" applyAlignment="1">
      <alignment vertical="center"/>
    </xf>
    <xf numFmtId="164" fontId="9" fillId="0" borderId="56" xfId="2" applyNumberFormat="1" applyFont="1" applyFill="1" applyBorder="1" applyAlignment="1">
      <alignment vertical="center"/>
    </xf>
    <xf numFmtId="44" fontId="9" fillId="0" borderId="60" xfId="1" applyFont="1" applyFill="1" applyBorder="1" applyAlignment="1">
      <alignment vertical="center"/>
    </xf>
    <xf numFmtId="164" fontId="9" fillId="0" borderId="60" xfId="2" applyNumberFormat="1" applyFont="1" applyFill="1" applyBorder="1" applyAlignment="1">
      <alignment vertical="center"/>
    </xf>
    <xf numFmtId="164" fontId="9" fillId="0" borderId="46" xfId="2" applyNumberFormat="1" applyFont="1" applyFill="1" applyBorder="1" applyAlignment="1">
      <alignment vertical="center"/>
    </xf>
    <xf numFmtId="44" fontId="9" fillId="0" borderId="62" xfId="1" applyFont="1" applyFill="1" applyBorder="1" applyAlignment="1">
      <alignment vertical="center"/>
    </xf>
    <xf numFmtId="164" fontId="9" fillId="0" borderId="62" xfId="2" applyNumberFormat="1" applyFont="1" applyFill="1" applyBorder="1" applyAlignment="1">
      <alignment vertical="center"/>
    </xf>
    <xf numFmtId="164" fontId="9" fillId="0" borderId="51" xfId="2" applyNumberFormat="1" applyFont="1" applyFill="1" applyBorder="1" applyAlignment="1">
      <alignment vertical="center"/>
    </xf>
    <xf numFmtId="44" fontId="6" fillId="0" borderId="62" xfId="1" applyFont="1" applyFill="1" applyBorder="1" applyAlignment="1">
      <alignment vertical="center"/>
    </xf>
    <xf numFmtId="0" fontId="2" fillId="0" borderId="63" xfId="0" applyFont="1" applyBorder="1" applyAlignment="1">
      <alignment vertical="center"/>
    </xf>
    <xf numFmtId="44" fontId="2" fillId="0" borderId="64" xfId="1" applyFont="1" applyFill="1" applyBorder="1" applyAlignment="1">
      <alignment vertical="center"/>
    </xf>
    <xf numFmtId="164" fontId="2" fillId="0" borderId="64" xfId="2" applyNumberFormat="1" applyFont="1" applyFill="1" applyBorder="1" applyAlignment="1">
      <alignment vertical="center"/>
    </xf>
    <xf numFmtId="164" fontId="2" fillId="0" borderId="56" xfId="2" applyNumberFormat="1" applyFont="1" applyFill="1" applyBorder="1" applyAlignment="1">
      <alignment vertical="center"/>
    </xf>
    <xf numFmtId="44" fontId="2" fillId="0" borderId="60" xfId="1" applyFont="1" applyFill="1" applyBorder="1" applyAlignment="1">
      <alignment vertical="center"/>
    </xf>
    <xf numFmtId="164" fontId="2" fillId="0" borderId="60" xfId="2" applyNumberFormat="1" applyFont="1" applyFill="1" applyBorder="1" applyAlignment="1">
      <alignment vertical="center"/>
    </xf>
    <xf numFmtId="164" fontId="2" fillId="0" borderId="46" xfId="2" applyNumberFormat="1" applyFont="1" applyFill="1" applyBorder="1" applyAlignment="1">
      <alignment vertical="center"/>
    </xf>
    <xf numFmtId="44" fontId="2" fillId="0" borderId="62" xfId="1" applyFont="1" applyFill="1" applyBorder="1" applyAlignment="1">
      <alignment vertical="center"/>
    </xf>
    <xf numFmtId="164" fontId="2" fillId="0" borderId="62" xfId="2" applyNumberFormat="1" applyFont="1" applyFill="1" applyBorder="1" applyAlignment="1">
      <alignment vertical="center"/>
    </xf>
    <xf numFmtId="164" fontId="2" fillId="0" borderId="51" xfId="2" applyNumberFormat="1" applyFont="1" applyFill="1" applyBorder="1" applyAlignment="1">
      <alignment vertical="center"/>
    </xf>
    <xf numFmtId="0" fontId="6" fillId="9" borderId="8" xfId="0" applyFont="1" applyFill="1" applyBorder="1" applyAlignment="1">
      <alignment vertical="center"/>
    </xf>
    <xf numFmtId="44" fontId="6" fillId="9" borderId="9" xfId="1" applyFont="1" applyFill="1" applyBorder="1" applyAlignment="1">
      <alignment vertical="center"/>
    </xf>
    <xf numFmtId="164" fontId="6" fillId="9" borderId="9" xfId="2" applyNumberFormat="1" applyFont="1" applyFill="1" applyBorder="1" applyAlignment="1">
      <alignment vertical="center"/>
    </xf>
    <xf numFmtId="164" fontId="6" fillId="9" borderId="10" xfId="2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C1F0C8"/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7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6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36" Type="http://schemas.openxmlformats.org/officeDocument/2006/relationships/externalLink" Target="externalLinks/externalLink10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Relationship Id="rId35" Type="http://schemas.openxmlformats.org/officeDocument/2006/relationships/externalLink" Target="externalLinks/externalLink9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.cnous.fr\sdve1\Users\bardon\AppData\Local\Temp\Temp1_TOUR%20DE%20PAIEMENT%20AIDEMERITE03122015.zip\LIMLIQUID_AIDECUMULAIDEMERITE0312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ncent.camus/Downloads/programmation_malaquais_20220106_OLAP-12%25%20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.cnous.fr\SAFAC1\Affaires%20Financi&#232;res\Budget\PARTAGE\BUDGET%20CROUS\2022\Rennes\cofi_2022_CrousRennesBretagne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alyst\System\EpMacro\Analyst.xla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alyst\System\EpMacro\Analyst.xla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datas-03\communs$\SC\DAFC\0%20DAFC%20SEPT.2016\20%20BUDGET\13.%20Suivi\TB%20Op&#233;rationnels%20mensuels\TBO%20Restauration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OULOT\CNOUS\BUDGET\02_CNOUS\Tableau_Situation_UO%20270921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OULOT\Graphes_Exemples\Alain_Fernandez\Exemples_Graphiques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System\EpMacro\Analyst.xla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.cnous.fr\sdve1\Documents%20and%20Settings\bardon\Local%20Settings\Temporary%20Internet%20Files\Content.Outlook\C0XUND87\NAN%20LIQUID_AIDE%20010112%20au%20051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nnées"/>
      <sheetName val="Effectifs"/>
      <sheetName val="Montants"/>
    </sheetNames>
    <sheetDataSet>
      <sheetData sheetId="0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e_d_emploi"/>
      <sheetName val="synthese"/>
      <sheetName val="parametres"/>
      <sheetName val="redevances"/>
      <sheetName val="couts"/>
      <sheetName val="emplois"/>
      <sheetName val="bilan_gestionnaire"/>
      <sheetName val="plan_de_financement"/>
      <sheetName val="compte_d_exploitation"/>
      <sheetName val="calendrier"/>
      <sheetName val="Exploitation"/>
      <sheetName val="Prix revient &amp; plan fi"/>
      <sheetName val="Redevances mensuelles"/>
    </sheetNames>
    <sheetDataSet>
      <sheetData sheetId="0"/>
      <sheetData sheetId="1"/>
      <sheetData sheetId="2">
        <row r="7">
          <cell r="B7">
            <v>13.63</v>
          </cell>
        </row>
      </sheetData>
      <sheetData sheetId="3">
        <row r="2">
          <cell r="U2">
            <v>961.5767706822013</v>
          </cell>
        </row>
      </sheetData>
      <sheetData sheetId="4">
        <row r="1">
          <cell r="A1" t="str">
            <v>DOMAINE</v>
          </cell>
        </row>
      </sheetData>
      <sheetData sheetId="5"/>
      <sheetData sheetId="6"/>
      <sheetData sheetId="7"/>
      <sheetData sheetId="8">
        <row r="10">
          <cell r="A10">
            <v>1</v>
          </cell>
        </row>
      </sheetData>
      <sheetData sheetId="9"/>
      <sheetData sheetId="10"/>
      <sheetData sheetId="11">
        <row r="3">
          <cell r="B3">
            <v>57</v>
          </cell>
        </row>
      </sheetData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1_emplois"/>
      <sheetName val="tab2_autorisa_bud"/>
      <sheetName val="tab3_destination_origine"/>
      <sheetName val="tab4_equi_financier"/>
      <sheetName val="tab5_opCpte tiers"/>
      <sheetName val="tab_6_CR_TF"/>
      <sheetName val="tab7_plan_de_trésorerie"/>
      <sheetName val="tab8_recettes_fléchées"/>
      <sheetName val="tab9_opé_pluri_nat_prev"/>
      <sheetName val="tab9_opé_pluri_nat_exe"/>
      <sheetName val="Tab10_synthèse"/>
    </sheetNames>
    <sheetDataSet>
      <sheetData sheetId="0">
        <row r="1">
          <cell r="A1">
            <v>2022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DialogBase"/>
      <sheetName val="Analyst"/>
    </sheetNames>
    <definedNames>
      <definedName name="AnalystSheetClose"/>
      <definedName name="AnalystSheetOpen"/>
    </defined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DialogBase"/>
      <sheetName val="Analyst"/>
    </sheetNames>
    <definedNames>
      <definedName name="AnalystSheetClose"/>
    </definedNames>
    <sheetDataSet>
      <sheetData sheetId="0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B CP 3009"/>
      <sheetName val="1.FicheidentitR"/>
      <sheetName val="2.Perf financière"/>
      <sheetName val="3.Exe_budgétaire"/>
      <sheetName val="CListe sites"/>
      <sheetName val="CA 2019"/>
      <sheetName val="Liste"/>
      <sheetName val="Freq"/>
      <sheetName val="CA2018"/>
      <sheetName val="CCorrespSID"/>
      <sheetName val="Interim"/>
      <sheetName val="Product"/>
      <sheetName val="CIntérim"/>
      <sheetName val="DGP Restauration"/>
      <sheetName val="Méthodes"/>
      <sheetName val="ETPT"/>
      <sheetName val="CETP"/>
      <sheetName val="CExe budgétaireR"/>
      <sheetName val="Table correspondance UF (plei) "/>
      <sheetName val="Solde budgétaire"/>
      <sheetName val="MSFCT"/>
      <sheetName val="CListe UG"/>
      <sheetName val="LDSITE"/>
      <sheetName val="CListe sites (2)"/>
      <sheetName val="CTable correspondances SO"/>
      <sheetName val="CTable de correspondances UG"/>
      <sheetName val="CTypeprojet"/>
      <sheetName val="TBO Restauration"/>
      <sheetName val="SID"/>
    </sheetNames>
    <sheetDataSet>
      <sheetData sheetId="0"/>
      <sheetData sheetId="1"/>
      <sheetData sheetId="2"/>
      <sheetData sheetId="3">
        <row r="1">
          <cell r="A1" t="str">
            <v>UG</v>
          </cell>
          <cell r="B1" t="str">
            <v>Concordia</v>
          </cell>
        </row>
        <row r="3">
          <cell r="A3">
            <v>0</v>
          </cell>
          <cell r="B3">
            <v>0</v>
          </cell>
          <cell r="C3" t="str">
            <v>Exercice</v>
          </cell>
          <cell r="D3" t="str">
            <v xml:space="preserve"> </v>
          </cell>
          <cell r="E3">
            <v>0</v>
          </cell>
        </row>
        <row r="4">
          <cell r="A4">
            <v>0</v>
          </cell>
          <cell r="B4">
            <v>0</v>
          </cell>
          <cell r="C4">
            <v>2018</v>
          </cell>
          <cell r="D4">
            <v>0</v>
          </cell>
          <cell r="E4" t="str">
            <v>2019 (31 Aout)</v>
          </cell>
        </row>
        <row r="5">
          <cell r="A5" t="str">
            <v xml:space="preserve">   </v>
          </cell>
          <cell r="B5" t="str">
            <v>Nature</v>
          </cell>
          <cell r="C5" t="str">
            <v xml:space="preserve">Ouverts </v>
          </cell>
          <cell r="D5" t="str">
            <v xml:space="preserve">Executés </v>
          </cell>
          <cell r="E5" t="str">
            <v xml:space="preserve">Ouverts </v>
          </cell>
        </row>
        <row r="6">
          <cell r="A6" t="str">
            <v>Recettes</v>
          </cell>
          <cell r="B6" t="str">
            <v>RGRP</v>
          </cell>
          <cell r="C6">
            <v>519137</v>
          </cell>
          <cell r="D6">
            <v>520547.57</v>
          </cell>
          <cell r="E6">
            <v>538778</v>
          </cell>
        </row>
        <row r="7">
          <cell r="A7" t="str">
            <v>Total Recettes</v>
          </cell>
          <cell r="B7" t="str">
            <v>DENT</v>
          </cell>
          <cell r="C7">
            <v>519137</v>
          </cell>
          <cell r="D7">
            <v>520547.57</v>
          </cell>
          <cell r="E7">
            <v>538778</v>
          </cell>
        </row>
        <row r="8">
          <cell r="A8">
            <v>0</v>
          </cell>
          <cell r="B8" t="str">
            <v>DFGE</v>
          </cell>
          <cell r="C8">
            <v>0</v>
          </cell>
          <cell r="D8">
            <v>466724.21</v>
          </cell>
          <cell r="E8">
            <v>263506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"/>
      <sheetName val="LOG"/>
      <sheetName val="IHE"/>
      <sheetName val="CDA"/>
      <sheetName val="RFA"/>
      <sheetName val="DRH"/>
      <sheetName val="CNF"/>
      <sheetName val="FCT"/>
      <sheetName val="CLR"/>
      <sheetName val="COM"/>
      <sheetName val="INF"/>
      <sheetName val="INF_BI"/>
      <sheetName val="Feuil2"/>
      <sheetName val="INT"/>
      <sheetName val="PIL"/>
      <sheetName val="OVE"/>
      <sheetName val="IHE_TDB"/>
      <sheetName val="Base Générale"/>
      <sheetName val="Commentaires_Versions"/>
      <sheetName val="TDB_Contrôle_Liasse_BR2"/>
      <sheetName val="TDB_Notification"/>
      <sheetName val="Récapitulatif"/>
      <sheetName val="Analyse_BR3"/>
      <sheetName val="Général"/>
      <sheetName val="Frais-Généraux"/>
      <sheetName val="Entretien-Équipements"/>
      <sheetName val="Investissements"/>
      <sheetName val="Locations"/>
      <sheetName val="Participations-Financières"/>
      <sheetName val="Viabilisation"/>
      <sheetName val="SCSP Ventillation"/>
      <sheetName val="pertes BR2"/>
      <sheetName val="Repas 1€ BR2"/>
      <sheetName val=" Synthése compensation BR2"/>
      <sheetName val="Transfert T7-T3"/>
      <sheetName val="Accéssibilité "/>
      <sheetName val="Nomenclature"/>
    </sheetNames>
    <sheetDataSet>
      <sheetData sheetId="0">
        <row r="82">
          <cell r="A82" t="str">
            <v>BAT</v>
          </cell>
        </row>
        <row r="83">
          <cell r="A83" t="str">
            <v>LOG</v>
          </cell>
        </row>
        <row r="84">
          <cell r="A84" t="str">
            <v>IHE</v>
          </cell>
        </row>
        <row r="85">
          <cell r="A85" t="str">
            <v>CDA</v>
          </cell>
        </row>
        <row r="86">
          <cell r="A86" t="str">
            <v>RFA</v>
          </cell>
        </row>
        <row r="87">
          <cell r="A87" t="str">
            <v>DRH</v>
          </cell>
        </row>
        <row r="88">
          <cell r="A88" t="str">
            <v>CNF</v>
          </cell>
        </row>
        <row r="89">
          <cell r="A89" t="str">
            <v>FCT</v>
          </cell>
        </row>
        <row r="90">
          <cell r="A90" t="str">
            <v>CLR</v>
          </cell>
        </row>
        <row r="91">
          <cell r="A91" t="str">
            <v>INF</v>
          </cell>
        </row>
        <row r="92">
          <cell r="A92" t="str">
            <v>COM</v>
          </cell>
        </row>
        <row r="93">
          <cell r="A93" t="str">
            <v>INT</v>
          </cell>
        </row>
        <row r="94">
          <cell r="A94" t="str">
            <v>PIL</v>
          </cell>
        </row>
        <row r="95">
          <cell r="A95" t="str">
            <v>OVE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stogramme"/>
      <sheetName val="Avec Tendance"/>
      <sheetName val="Empilé"/>
      <sheetName val="Barre-Graphe"/>
      <sheetName val="BarreG Empilé"/>
      <sheetName val="Pareto"/>
      <sheetName val="Secteur"/>
      <sheetName val="Aires"/>
      <sheetName val="Anneaux"/>
      <sheetName val="Courbes"/>
      <sheetName val="Radar"/>
      <sheetName val="Bulles"/>
      <sheetName val="Nuage de points"/>
      <sheetName val="TreeMap1"/>
      <sheetName val="TreeMap2"/>
      <sheetName val="Soleil"/>
      <sheetName val="Cascade"/>
      <sheetName val="Entonnoi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DialogBase"/>
      <sheetName val="Analyst"/>
    </sheetNames>
    <definedNames>
      <definedName name="AnalystDropDown"/>
      <definedName name="AnalystSheetClose"/>
    </definedNames>
    <sheetDataSet>
      <sheetData sheetId="0"/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nnées"/>
      <sheetName val="Effectifs"/>
      <sheetName val="Montants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AA867-0E0E-4F45-B96B-A2389F383494}">
  <sheetPr>
    <tabColor theme="5" tint="0.79998168889431442"/>
    <pageSetUpPr fitToPage="1"/>
  </sheetPr>
  <dimension ref="A1:G72"/>
  <sheetViews>
    <sheetView view="pageBreakPreview" topLeftCell="B1" zoomScale="110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7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7" t="s">
        <v>0</v>
      </c>
      <c r="B3" s="18" t="s">
        <v>46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30685598.890000001</v>
      </c>
      <c r="C6" s="102">
        <v>32854853.620000001</v>
      </c>
      <c r="D6" s="101">
        <v>34525070.5</v>
      </c>
      <c r="E6" s="103">
        <f>+IF(ISBLANK(B6),"",+C6/B6-1)</f>
        <v>7.0692924644430777E-2</v>
      </c>
      <c r="F6" s="104">
        <f>+IF(ISBLANK(C6),"",+D6/C6-1)</f>
        <v>5.0836229536060928E-2</v>
      </c>
    </row>
    <row r="7" spans="1:6" ht="15" customHeight="1" x14ac:dyDescent="0.35">
      <c r="A7" s="105" t="s">
        <v>2</v>
      </c>
      <c r="B7" s="106">
        <v>9221358.5700000003</v>
      </c>
      <c r="C7" s="107">
        <v>10126523.15</v>
      </c>
      <c r="D7" s="106">
        <v>10630215.41</v>
      </c>
      <c r="E7" s="108">
        <f t="shared" ref="E7:F63" si="0">+IF(ISBLANK(B7),"",+C7/B7-1)</f>
        <v>9.8159568693574784E-2</v>
      </c>
      <c r="F7" s="109">
        <f t="shared" si="0"/>
        <v>4.9739901103173834E-2</v>
      </c>
    </row>
    <row r="8" spans="1:6" ht="15" customHeight="1" x14ac:dyDescent="0.35">
      <c r="A8" s="105" t="s">
        <v>4</v>
      </c>
      <c r="B8" s="106">
        <v>73023.78</v>
      </c>
      <c r="C8" s="107">
        <v>74481.2</v>
      </c>
      <c r="D8" s="106">
        <v>93239</v>
      </c>
      <c r="E8" s="108">
        <f t="shared" si="0"/>
        <v>1.9958156096548274E-2</v>
      </c>
      <c r="F8" s="109">
        <f t="shared" si="0"/>
        <v>0.25184610344623892</v>
      </c>
    </row>
    <row r="9" spans="1:6" ht="15" customHeight="1" x14ac:dyDescent="0.35">
      <c r="A9" s="105" t="s">
        <v>3</v>
      </c>
      <c r="B9" s="106">
        <v>364354.74</v>
      </c>
      <c r="C9" s="107">
        <v>403064.23</v>
      </c>
      <c r="D9" s="106">
        <v>151798.45000000001</v>
      </c>
      <c r="E9" s="108">
        <f t="shared" si="0"/>
        <v>0.10624121426278132</v>
      </c>
      <c r="F9" s="109">
        <f t="shared" si="0"/>
        <v>-0.62338893232971815</v>
      </c>
    </row>
    <row r="10" spans="1:6" ht="15" customHeight="1" x14ac:dyDescent="0.35">
      <c r="A10" s="110" t="s">
        <v>5</v>
      </c>
      <c r="B10" s="111">
        <v>1056639.04</v>
      </c>
      <c r="C10" s="112">
        <v>2115238.35</v>
      </c>
      <c r="D10" s="111">
        <v>1618235.79</v>
      </c>
      <c r="E10" s="113">
        <f t="shared" si="0"/>
        <v>1.0018551936146518</v>
      </c>
      <c r="F10" s="114">
        <f t="shared" si="0"/>
        <v>-0.23496291091734411</v>
      </c>
    </row>
    <row r="11" spans="1:6" s="3" customFormat="1" ht="15" customHeight="1" x14ac:dyDescent="0.35">
      <c r="A11" s="64" t="s">
        <v>62</v>
      </c>
      <c r="B11" s="67">
        <f>SUM(B6:B10)</f>
        <v>41400975.020000003</v>
      </c>
      <c r="C11" s="70">
        <f t="shared" ref="C11:D11" si="1">SUM(C6:C10)</f>
        <v>45574160.550000004</v>
      </c>
      <c r="D11" s="67">
        <f t="shared" si="1"/>
        <v>47018559.149999999</v>
      </c>
      <c r="E11" s="73">
        <f t="shared" si="0"/>
        <v>0.10079920890713367</v>
      </c>
      <c r="F11" s="38">
        <f t="shared" si="0"/>
        <v>3.1693367087152868E-2</v>
      </c>
    </row>
    <row r="12" spans="1:6" ht="15" customHeight="1" x14ac:dyDescent="0.35">
      <c r="A12" s="115" t="s">
        <v>29</v>
      </c>
      <c r="B12" s="116">
        <v>16373161.67</v>
      </c>
      <c r="C12" s="117">
        <v>23044175.170000002</v>
      </c>
      <c r="D12" s="116">
        <v>22044876</v>
      </c>
      <c r="E12" s="118">
        <f t="shared" si="0"/>
        <v>0.40743587796015457</v>
      </c>
      <c r="F12" s="119">
        <f t="shared" si="0"/>
        <v>-4.336450155529703E-2</v>
      </c>
    </row>
    <row r="13" spans="1:6" ht="15" customHeight="1" x14ac:dyDescent="0.35">
      <c r="A13" s="105" t="s">
        <v>60</v>
      </c>
      <c r="B13" s="106">
        <v>840227.15</v>
      </c>
      <c r="C13" s="107">
        <v>912513.75</v>
      </c>
      <c r="D13" s="106">
        <v>917541.21</v>
      </c>
      <c r="E13" s="108">
        <f t="shared" si="0"/>
        <v>8.6032211646576817E-2</v>
      </c>
      <c r="F13" s="109">
        <f t="shared" si="0"/>
        <v>5.5094621861861981E-3</v>
      </c>
    </row>
    <row r="14" spans="1:6" ht="15" customHeight="1" x14ac:dyDescent="0.35">
      <c r="A14" s="110" t="s">
        <v>61</v>
      </c>
      <c r="B14" s="111">
        <v>719316.55</v>
      </c>
      <c r="C14" s="112">
        <v>922800.26999999781</v>
      </c>
      <c r="D14" s="111">
        <v>1727753.81</v>
      </c>
      <c r="E14" s="113">
        <f t="shared" si="0"/>
        <v>0.28288480224735246</v>
      </c>
      <c r="F14" s="114">
        <f t="shared" si="0"/>
        <v>0.87229443485100422</v>
      </c>
    </row>
    <row r="15" spans="1:6" s="3" customFormat="1" ht="15" customHeight="1" x14ac:dyDescent="0.35">
      <c r="A15" s="64" t="s">
        <v>63</v>
      </c>
      <c r="B15" s="67">
        <f>SUM(B12:B14)</f>
        <v>17932705.370000001</v>
      </c>
      <c r="C15" s="70">
        <f t="shared" ref="C15:D15" si="2">SUM(C12:C14)</f>
        <v>24879489.190000001</v>
      </c>
      <c r="D15" s="67">
        <f t="shared" si="2"/>
        <v>24690171.02</v>
      </c>
      <c r="E15" s="73">
        <f t="shared" si="0"/>
        <v>0.38738069224186455</v>
      </c>
      <c r="F15" s="38">
        <f t="shared" si="0"/>
        <v>-7.6094074341404028E-3</v>
      </c>
    </row>
    <row r="16" spans="1:6" s="11" customFormat="1" ht="15" customHeight="1" x14ac:dyDescent="0.35">
      <c r="A16" s="139" t="s">
        <v>74</v>
      </c>
      <c r="B16" s="140">
        <v>6979509.7000000002</v>
      </c>
      <c r="C16" s="141">
        <v>6282868.2999999998</v>
      </c>
      <c r="D16" s="140">
        <v>6382964.4500000002</v>
      </c>
      <c r="E16" s="142">
        <f t="shared" si="0"/>
        <v>-9.9812369341645946E-2</v>
      </c>
      <c r="F16" s="143">
        <f t="shared" si="0"/>
        <v>1.5931600858162254E-2</v>
      </c>
    </row>
    <row r="17" spans="1:6" s="11" customFormat="1" ht="15" customHeight="1" x14ac:dyDescent="0.35">
      <c r="A17" s="144" t="s">
        <v>71</v>
      </c>
      <c r="B17" s="145">
        <v>1633573.53</v>
      </c>
      <c r="C17" s="146">
        <v>1581324.22</v>
      </c>
      <c r="D17" s="145">
        <v>1258484.98</v>
      </c>
      <c r="E17" s="147">
        <f t="shared" si="0"/>
        <v>-3.1984669829952517E-2</v>
      </c>
      <c r="F17" s="148">
        <f t="shared" si="0"/>
        <v>-0.2041575256464484</v>
      </c>
    </row>
    <row r="18" spans="1:6" s="11" customFormat="1" ht="15" customHeight="1" x14ac:dyDescent="0.35">
      <c r="A18" s="144" t="s">
        <v>72</v>
      </c>
      <c r="B18" s="145">
        <v>30374.55</v>
      </c>
      <c r="C18" s="146">
        <v>39391.49</v>
      </c>
      <c r="D18" s="145">
        <v>16800</v>
      </c>
      <c r="E18" s="147">
        <f t="shared" si="0"/>
        <v>0.2968583896716166</v>
      </c>
      <c r="F18" s="148">
        <f t="shared" si="0"/>
        <v>-0.57351194382339932</v>
      </c>
    </row>
    <row r="19" spans="1:6" s="11" customFormat="1" ht="15" customHeight="1" x14ac:dyDescent="0.35">
      <c r="A19" s="149" t="s">
        <v>73</v>
      </c>
      <c r="B19" s="150">
        <v>56967.24</v>
      </c>
      <c r="C19" s="151">
        <v>62081.71</v>
      </c>
      <c r="D19" s="150">
        <v>73492.850000000006</v>
      </c>
      <c r="E19" s="152">
        <f t="shared" si="0"/>
        <v>8.9779143240922288E-2</v>
      </c>
      <c r="F19" s="153">
        <f t="shared" si="0"/>
        <v>0.18380840347342242</v>
      </c>
    </row>
    <row r="20" spans="1:6" ht="15" customHeight="1" x14ac:dyDescent="0.35">
      <c r="A20" s="64" t="s">
        <v>84</v>
      </c>
      <c r="B20" s="67">
        <f>SUM(B16:B19)</f>
        <v>8700425.0200000014</v>
      </c>
      <c r="C20" s="70">
        <f t="shared" ref="C20:D20" si="3">SUM(C16:C19)</f>
        <v>7965665.7199999997</v>
      </c>
      <c r="D20" s="67">
        <f t="shared" si="3"/>
        <v>7731742.2799999993</v>
      </c>
      <c r="E20" s="73">
        <f t="shared" si="0"/>
        <v>-8.4450966281645168E-2</v>
      </c>
      <c r="F20" s="38">
        <f t="shared" si="0"/>
        <v>-2.9366464552067595E-2</v>
      </c>
    </row>
    <row r="21" spans="1:6" ht="15" customHeight="1" thickBot="1" x14ac:dyDescent="0.4">
      <c r="A21" s="80" t="s">
        <v>64</v>
      </c>
      <c r="B21" s="81"/>
      <c r="C21" s="82"/>
      <c r="D21" s="81"/>
      <c r="E21" s="83" t="str">
        <f t="shared" si="0"/>
        <v/>
      </c>
      <c r="F21" s="84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68034105.409999996</v>
      </c>
      <c r="C22" s="87">
        <f>C11+C15+C20+C21</f>
        <v>78419315.460000008</v>
      </c>
      <c r="D22" s="86">
        <f>D11+D15+D20+D21</f>
        <v>79440472.450000003</v>
      </c>
      <c r="E22" s="88">
        <f t="shared" si="0"/>
        <v>0.15264711702189215</v>
      </c>
      <c r="F22" s="89">
        <f t="shared" si="0"/>
        <v>1.3021753429113492E-2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16668036.18</v>
      </c>
      <c r="C24" s="155">
        <v>17606107.810000002</v>
      </c>
      <c r="D24" s="155">
        <v>18604389.879999999</v>
      </c>
      <c r="E24" s="156">
        <f t="shared" si="0"/>
        <v>5.6279673254225226E-2</v>
      </c>
      <c r="F24" s="104">
        <f t="shared" si="0"/>
        <v>5.6700894983330086E-2</v>
      </c>
    </row>
    <row r="25" spans="1:6" ht="15" customHeight="1" x14ac:dyDescent="0.35">
      <c r="A25" s="157" t="s">
        <v>40</v>
      </c>
      <c r="B25" s="158">
        <v>7999531.7199999988</v>
      </c>
      <c r="C25" s="158">
        <v>8382907.1500000004</v>
      </c>
      <c r="D25" s="158">
        <v>8887158.2599999998</v>
      </c>
      <c r="E25" s="159">
        <f t="shared" si="0"/>
        <v>4.7924734024306304E-2</v>
      </c>
      <c r="F25" s="109">
        <f t="shared" si="0"/>
        <v>6.0152295734302585E-2</v>
      </c>
    </row>
    <row r="26" spans="1:6" ht="15" customHeight="1" x14ac:dyDescent="0.35">
      <c r="A26" s="160" t="s">
        <v>41</v>
      </c>
      <c r="B26" s="161">
        <v>398255.43000000005</v>
      </c>
      <c r="C26" s="161">
        <v>388236.32</v>
      </c>
      <c r="D26" s="161">
        <v>380868.68000000005</v>
      </c>
      <c r="E26" s="162">
        <f t="shared" si="0"/>
        <v>-2.5157497538702889E-2</v>
      </c>
      <c r="F26" s="114">
        <f t="shared" si="0"/>
        <v>-1.8977204399629466E-2</v>
      </c>
    </row>
    <row r="27" spans="1:6" ht="15" customHeight="1" x14ac:dyDescent="0.35">
      <c r="A27" s="37" t="s">
        <v>65</v>
      </c>
      <c r="B27" s="21">
        <f>B24+B25+B26</f>
        <v>25065823.329999998</v>
      </c>
      <c r="C27" s="21">
        <f t="shared" ref="C27:D27" si="4">C24+C25+C26</f>
        <v>26377251.280000001</v>
      </c>
      <c r="D27" s="21">
        <f t="shared" si="4"/>
        <v>27872416.82</v>
      </c>
      <c r="E27" s="22">
        <f t="shared" si="0"/>
        <v>5.2319364607920971E-2</v>
      </c>
      <c r="F27" s="38">
        <f t="shared" si="0"/>
        <v>5.6683902508586126E-2</v>
      </c>
    </row>
    <row r="28" spans="1:6" ht="15" customHeight="1" x14ac:dyDescent="0.35">
      <c r="A28" s="39" t="s">
        <v>66</v>
      </c>
      <c r="B28" s="21">
        <v>6012109.3799999999</v>
      </c>
      <c r="C28" s="21">
        <v>8290313.1000000015</v>
      </c>
      <c r="D28" s="21">
        <v>9562876.6799999978</v>
      </c>
      <c r="E28" s="22">
        <f t="shared" si="0"/>
        <v>0.3789358403189933</v>
      </c>
      <c r="F28" s="38">
        <f t="shared" si="0"/>
        <v>0.15350006262127747</v>
      </c>
    </row>
    <row r="29" spans="1:6" s="6" customFormat="1" ht="15" customHeight="1" x14ac:dyDescent="0.35">
      <c r="A29" s="182" t="s">
        <v>26</v>
      </c>
      <c r="B29" s="183">
        <f>4891027.55+346165.18</f>
        <v>5237192.7299999995</v>
      </c>
      <c r="C29" s="183">
        <f>6806338.26+475194.48</f>
        <v>7281532.7400000002</v>
      </c>
      <c r="D29" s="183">
        <f>7708402.56+485792.37</f>
        <v>8194194.9299999997</v>
      </c>
      <c r="E29" s="184">
        <f t="shared" si="0"/>
        <v>0.39035034901226573</v>
      </c>
      <c r="F29" s="185">
        <f t="shared" si="0"/>
        <v>0.12533929635259722</v>
      </c>
    </row>
    <row r="30" spans="1:6" s="163" customFormat="1" ht="15" customHeight="1" x14ac:dyDescent="0.35">
      <c r="A30" s="171" t="s">
        <v>76</v>
      </c>
      <c r="B30" s="172">
        <v>6367921.9600000009</v>
      </c>
      <c r="C30" s="172">
        <v>10084644.510000002</v>
      </c>
      <c r="D30" s="172">
        <v>7459905.5399999991</v>
      </c>
      <c r="E30" s="169">
        <f t="shared" si="0"/>
        <v>0.58366333214297117</v>
      </c>
      <c r="F30" s="170">
        <f t="shared" si="0"/>
        <v>-0.2602708471674231</v>
      </c>
    </row>
    <row r="31" spans="1:6" s="9" customFormat="1" ht="15" customHeight="1" x14ac:dyDescent="0.35">
      <c r="A31" s="165" t="s">
        <v>21</v>
      </c>
      <c r="B31" s="166">
        <v>2571028.87</v>
      </c>
      <c r="C31" s="166">
        <v>5441281.5800000001</v>
      </c>
      <c r="D31" s="166">
        <v>3400535.36</v>
      </c>
      <c r="E31" s="167">
        <f t="shared" si="0"/>
        <v>1.1163829171626531</v>
      </c>
      <c r="F31" s="168">
        <f t="shared" si="0"/>
        <v>-0.37504881708400761</v>
      </c>
    </row>
    <row r="32" spans="1:6" s="9" customFormat="1" ht="15" customHeight="1" x14ac:dyDescent="0.35">
      <c r="A32" s="165" t="s">
        <v>22</v>
      </c>
      <c r="B32" s="166">
        <v>15788.37</v>
      </c>
      <c r="C32" s="166">
        <v>15383.44</v>
      </c>
      <c r="D32" s="166">
        <v>21476.41</v>
      </c>
      <c r="E32" s="167">
        <f t="shared" si="0"/>
        <v>-2.5647359417089954E-2</v>
      </c>
      <c r="F32" s="168">
        <f t="shared" si="0"/>
        <v>0.39607331000088397</v>
      </c>
    </row>
    <row r="33" spans="1:6" s="9" customFormat="1" ht="15" customHeight="1" x14ac:dyDescent="0.35">
      <c r="A33" s="165" t="s">
        <v>23</v>
      </c>
      <c r="B33" s="166">
        <v>769836.6</v>
      </c>
      <c r="C33" s="166">
        <v>1603866.58</v>
      </c>
      <c r="D33" s="166">
        <v>1304301.8899999999</v>
      </c>
      <c r="E33" s="167">
        <f t="shared" si="0"/>
        <v>1.0833857210737969</v>
      </c>
      <c r="F33" s="168">
        <f t="shared" si="0"/>
        <v>-0.18677656466911363</v>
      </c>
    </row>
    <row r="34" spans="1:6" s="9" customFormat="1" ht="15" customHeight="1" x14ac:dyDescent="0.35">
      <c r="A34" s="165" t="s">
        <v>24</v>
      </c>
      <c r="B34" s="166">
        <v>1652443.56</v>
      </c>
      <c r="C34" s="166">
        <v>1561800.22</v>
      </c>
      <c r="D34" s="166">
        <v>996798.65</v>
      </c>
      <c r="E34" s="167">
        <f t="shared" si="0"/>
        <v>-5.4854121613690743E-2</v>
      </c>
      <c r="F34" s="168">
        <f t="shared" si="0"/>
        <v>-0.36176302369838309</v>
      </c>
    </row>
    <row r="35" spans="1:6" s="9" customFormat="1" ht="15" customHeight="1" x14ac:dyDescent="0.35">
      <c r="A35" s="165" t="s">
        <v>25</v>
      </c>
      <c r="B35" s="166">
        <v>1356131.27</v>
      </c>
      <c r="C35" s="166">
        <v>1457396.43</v>
      </c>
      <c r="D35" s="166">
        <v>1733348.54</v>
      </c>
      <c r="E35" s="167">
        <f t="shared" si="0"/>
        <v>7.4672092768718334E-2</v>
      </c>
      <c r="F35" s="168">
        <f t="shared" si="0"/>
        <v>0.18934594892619572</v>
      </c>
    </row>
    <row r="36" spans="1:6" s="9" customFormat="1" ht="15" customHeight="1" x14ac:dyDescent="0.35">
      <c r="A36" s="165" t="s">
        <v>32</v>
      </c>
      <c r="B36" s="166">
        <v>2693.29</v>
      </c>
      <c r="C36" s="166">
        <v>4916.26</v>
      </c>
      <c r="D36" s="166">
        <v>3444.69</v>
      </c>
      <c r="E36" s="167">
        <f t="shared" si="0"/>
        <v>0.82537342803782754</v>
      </c>
      <c r="F36" s="168">
        <f t="shared" si="0"/>
        <v>-0.29932713078641082</v>
      </c>
    </row>
    <row r="37" spans="1:6" s="10" customFormat="1" ht="15" customHeight="1" x14ac:dyDescent="0.35">
      <c r="A37" s="171" t="s">
        <v>77</v>
      </c>
      <c r="B37" s="172">
        <f>7056830.05+336083.26</f>
        <v>7392913.3099999996</v>
      </c>
      <c r="C37" s="172">
        <f>7169245.02+376285.79</f>
        <v>7545530.8099999996</v>
      </c>
      <c r="D37" s="172">
        <f>7394060.96+340495.43</f>
        <v>7734556.3899999997</v>
      </c>
      <c r="E37" s="169">
        <f t="shared" si="0"/>
        <v>2.0643756202789909E-2</v>
      </c>
      <c r="F37" s="170">
        <f t="shared" si="0"/>
        <v>2.5051329689024238E-2</v>
      </c>
    </row>
    <row r="38" spans="1:6" s="7" customFormat="1" ht="15" customHeight="1" x14ac:dyDescent="0.35">
      <c r="A38" s="173" t="s">
        <v>70</v>
      </c>
      <c r="B38" s="174">
        <v>6967021.0800000001</v>
      </c>
      <c r="C38" s="174">
        <v>7127789.8300000001</v>
      </c>
      <c r="D38" s="174">
        <v>7045873.5599999996</v>
      </c>
      <c r="E38" s="169">
        <f t="shared" si="0"/>
        <v>2.3075680144203137E-2</v>
      </c>
      <c r="F38" s="170">
        <f t="shared" si="0"/>
        <v>-1.1492520396045425E-2</v>
      </c>
    </row>
    <row r="39" spans="1:6" s="10" customFormat="1" ht="15" customHeight="1" x14ac:dyDescent="0.35">
      <c r="A39" s="171" t="s">
        <v>78</v>
      </c>
      <c r="B39" s="172">
        <f>1718039.37+834682.48</f>
        <v>2552721.85</v>
      </c>
      <c r="C39" s="172">
        <f>2292984.23+820196.75</f>
        <v>3113180.98</v>
      </c>
      <c r="D39" s="172">
        <f>2951503.01+831121.71</f>
        <v>3782624.7199999997</v>
      </c>
      <c r="E39" s="169">
        <f t="shared" si="0"/>
        <v>0.21955354438635766</v>
      </c>
      <c r="F39" s="170">
        <f t="shared" si="0"/>
        <v>0.21503527880348283</v>
      </c>
    </row>
    <row r="40" spans="1:6" s="10" customFormat="1" ht="15" customHeight="1" x14ac:dyDescent="0.35">
      <c r="A40" s="175" t="s">
        <v>79</v>
      </c>
      <c r="B40" s="176">
        <f>21503340.71-B30-B37-B39</f>
        <v>5189783.59</v>
      </c>
      <c r="C40" s="176">
        <f>26946157.26-C30-C37-C39</f>
        <v>6202800.9600000009</v>
      </c>
      <c r="D40" s="176">
        <f>25591784.61-D30-D37-D39</f>
        <v>6614697.96</v>
      </c>
      <c r="E40" s="177">
        <f t="shared" si="0"/>
        <v>0.19519453025978706</v>
      </c>
      <c r="F40" s="178">
        <f t="shared" si="0"/>
        <v>6.640500036293262E-2</v>
      </c>
    </row>
    <row r="41" spans="1:6" ht="15" customHeight="1" x14ac:dyDescent="0.35">
      <c r="A41" s="37" t="s">
        <v>75</v>
      </c>
      <c r="B41" s="21">
        <f>SUM(B30:B40)</f>
        <v>34838283.75</v>
      </c>
      <c r="C41" s="21">
        <f>SUM(C30:C40)</f>
        <v>44158591.599999994</v>
      </c>
      <c r="D41" s="21">
        <f>SUM(D30:D40)</f>
        <v>40097563.709999993</v>
      </c>
      <c r="E41" s="22">
        <f t="shared" si="0"/>
        <v>0.26753062570138786</v>
      </c>
      <c r="F41" s="38">
        <f t="shared" si="0"/>
        <v>-9.1964615329805932E-2</v>
      </c>
    </row>
    <row r="42" spans="1:6" ht="15" customHeight="1" x14ac:dyDescent="0.35">
      <c r="A42" s="39" t="s">
        <v>67</v>
      </c>
      <c r="B42" s="21">
        <v>1947841.69</v>
      </c>
      <c r="C42" s="21">
        <v>2118161.88</v>
      </c>
      <c r="D42" s="21">
        <v>2559986.1100000003</v>
      </c>
      <c r="E42" s="22">
        <f t="shared" si="0"/>
        <v>8.7440468532121729E-2</v>
      </c>
      <c r="F42" s="38">
        <f t="shared" si="0"/>
        <v>0.2085885097696123</v>
      </c>
    </row>
    <row r="43" spans="1:6" ht="15" customHeight="1" x14ac:dyDescent="0.35">
      <c r="A43" s="39" t="s">
        <v>68</v>
      </c>
      <c r="B43" s="21">
        <v>26600</v>
      </c>
      <c r="C43" s="21"/>
      <c r="D43" s="21"/>
      <c r="E43" s="22">
        <f t="shared" si="0"/>
        <v>-1</v>
      </c>
      <c r="F43" s="38" t="str">
        <f t="shared" si="0"/>
        <v/>
      </c>
    </row>
    <row r="44" spans="1:6" ht="15" customHeight="1" x14ac:dyDescent="0.35">
      <c r="A44" s="39" t="s">
        <v>69</v>
      </c>
      <c r="B44" s="21">
        <v>1029755.69</v>
      </c>
      <c r="C44" s="21">
        <v>1089984.48</v>
      </c>
      <c r="D44" s="21">
        <v>1029322.8</v>
      </c>
      <c r="E44" s="22">
        <f t="shared" si="0"/>
        <v>5.8488426512117719E-2</v>
      </c>
      <c r="F44" s="38">
        <f t="shared" si="0"/>
        <v>-5.5653709858327516E-2</v>
      </c>
    </row>
    <row r="45" spans="1:6" ht="15" customHeight="1" x14ac:dyDescent="0.35">
      <c r="A45" s="197" t="s">
        <v>80</v>
      </c>
      <c r="B45" s="198">
        <v>10348323.609999999</v>
      </c>
      <c r="C45" s="198">
        <v>9822234.9900000002</v>
      </c>
      <c r="D45" s="198">
        <v>9955209.8900000006</v>
      </c>
      <c r="E45" s="199">
        <f t="shared" si="0"/>
        <v>-5.083805259932328E-2</v>
      </c>
      <c r="F45" s="200">
        <f t="shared" si="0"/>
        <v>1.3538150953971373E-2</v>
      </c>
    </row>
    <row r="46" spans="1:6" ht="15" customHeight="1" x14ac:dyDescent="0.35">
      <c r="A46" s="157" t="s">
        <v>81</v>
      </c>
      <c r="B46" s="201">
        <v>1581324.22</v>
      </c>
      <c r="C46" s="201">
        <v>1334784.98</v>
      </c>
      <c r="D46" s="201">
        <v>1744031.3</v>
      </c>
      <c r="E46" s="202">
        <f t="shared" si="0"/>
        <v>-0.15590682598917005</v>
      </c>
      <c r="F46" s="203">
        <f t="shared" si="0"/>
        <v>0.30660093283339163</v>
      </c>
    </row>
    <row r="47" spans="1:6" ht="15" customHeight="1" x14ac:dyDescent="0.35">
      <c r="A47" s="160" t="s">
        <v>82</v>
      </c>
      <c r="B47" s="204">
        <v>39391.49</v>
      </c>
      <c r="C47" s="204"/>
      <c r="D47" s="204">
        <v>78357.98</v>
      </c>
      <c r="E47" s="205">
        <f t="shared" si="0"/>
        <v>-1</v>
      </c>
      <c r="F47" s="206" t="str">
        <f t="shared" si="0"/>
        <v/>
      </c>
    </row>
    <row r="48" spans="1:6" ht="15" customHeight="1" thickBot="1" x14ac:dyDescent="0.4">
      <c r="A48" s="93" t="s">
        <v>83</v>
      </c>
      <c r="B48" s="94">
        <v>11969039.32</v>
      </c>
      <c r="C48" s="94">
        <v>11157019.970000001</v>
      </c>
      <c r="D48" s="94">
        <v>11777599.17</v>
      </c>
      <c r="E48" s="95">
        <f t="shared" si="0"/>
        <v>-6.7843318773557093E-2</v>
      </c>
      <c r="F48" s="84">
        <f t="shared" si="0"/>
        <v>5.5622307898405499E-2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80889453.159999996</v>
      </c>
      <c r="C49" s="97">
        <f>C27+C28+C41+C42+C43+C44+C48</f>
        <v>93191322.309999987</v>
      </c>
      <c r="D49" s="97">
        <f>D27+D28+D41+D42+D43+D44+D48</f>
        <v>92899765.289999992</v>
      </c>
      <c r="E49" s="98">
        <f t="shared" si="0"/>
        <v>0.15208248627502519</v>
      </c>
      <c r="F49" s="99">
        <f t="shared" si="0"/>
        <v>-3.1285855031666365E-3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41400975.020000003</v>
      </c>
      <c r="C51" s="58">
        <f>+C11</f>
        <v>45574160.550000004</v>
      </c>
      <c r="D51" s="44">
        <f>+D11</f>
        <v>47018559.149999999</v>
      </c>
      <c r="E51" s="59">
        <f t="shared" si="0"/>
        <v>0.10079920890713367</v>
      </c>
      <c r="F51" s="28">
        <f t="shared" si="0"/>
        <v>3.1693367087152868E-2</v>
      </c>
    </row>
    <row r="52" spans="1:7" ht="15" customHeight="1" x14ac:dyDescent="0.35">
      <c r="A52" s="40" t="s">
        <v>9</v>
      </c>
      <c r="B52" s="45">
        <f>+B28</f>
        <v>6012109.3799999999</v>
      </c>
      <c r="C52" s="49">
        <f>+C28</f>
        <v>8290313.1000000015</v>
      </c>
      <c r="D52" s="45">
        <f>+D28</f>
        <v>9562876.6799999978</v>
      </c>
      <c r="E52" s="53">
        <f t="shared" si="0"/>
        <v>0.3789358403189933</v>
      </c>
      <c r="F52" s="30">
        <f t="shared" si="0"/>
        <v>0.15350006262127747</v>
      </c>
    </row>
    <row r="53" spans="1:7" ht="15" customHeight="1" x14ac:dyDescent="0.35">
      <c r="A53" s="40" t="s">
        <v>10</v>
      </c>
      <c r="B53" s="45">
        <f>+B41</f>
        <v>34838283.75</v>
      </c>
      <c r="C53" s="49">
        <f>+C41</f>
        <v>44158591.599999994</v>
      </c>
      <c r="D53" s="45">
        <f>+D41</f>
        <v>40097563.709999993</v>
      </c>
      <c r="E53" s="53">
        <f t="shared" si="0"/>
        <v>0.26753062570138786</v>
      </c>
      <c r="F53" s="30">
        <f t="shared" si="0"/>
        <v>-9.1964615329805932E-2</v>
      </c>
    </row>
    <row r="54" spans="1:7" s="3" customFormat="1" ht="15" customHeight="1" x14ac:dyDescent="0.35">
      <c r="A54" s="41" t="s">
        <v>11</v>
      </c>
      <c r="B54" s="46">
        <f>B51-B52-B53</f>
        <v>550581.8900000006</v>
      </c>
      <c r="C54" s="50">
        <f t="shared" ref="C54:D54" si="5">C51-C52-C53</f>
        <v>-6874744.1499999911</v>
      </c>
      <c r="D54" s="46">
        <f t="shared" si="5"/>
        <v>-2641881.2399999946</v>
      </c>
      <c r="E54" s="54">
        <f t="shared" si="0"/>
        <v>-13.486324513870196</v>
      </c>
      <c r="F54" s="34">
        <f t="shared" si="0"/>
        <v>-0.61571206399004708</v>
      </c>
      <c r="G54" s="4"/>
    </row>
    <row r="55" spans="1:7" ht="15" customHeight="1" x14ac:dyDescent="0.35">
      <c r="A55" s="40" t="s">
        <v>12</v>
      </c>
      <c r="B55" s="45">
        <f>B15</f>
        <v>17932705.370000001</v>
      </c>
      <c r="C55" s="49">
        <f>C15</f>
        <v>24879489.190000001</v>
      </c>
      <c r="D55" s="45">
        <f>D15</f>
        <v>24690171.02</v>
      </c>
      <c r="E55" s="53">
        <f t="shared" si="0"/>
        <v>0.38738069224186455</v>
      </c>
      <c r="F55" s="30">
        <f t="shared" si="0"/>
        <v>-7.6094074341404028E-3</v>
      </c>
    </row>
    <row r="56" spans="1:7" ht="15" customHeight="1" x14ac:dyDescent="0.35">
      <c r="A56" s="40" t="s">
        <v>13</v>
      </c>
      <c r="B56" s="45">
        <f>B27</f>
        <v>25065823.329999998</v>
      </c>
      <c r="C56" s="49">
        <f>C27</f>
        <v>26377251.280000001</v>
      </c>
      <c r="D56" s="45">
        <f>D27</f>
        <v>27872416.82</v>
      </c>
      <c r="E56" s="53">
        <f t="shared" si="0"/>
        <v>5.2319364607920971E-2</v>
      </c>
      <c r="F56" s="30">
        <f t="shared" si="0"/>
        <v>5.6683902508586126E-2</v>
      </c>
    </row>
    <row r="57" spans="1:7" ht="15" customHeight="1" x14ac:dyDescent="0.35">
      <c r="A57" s="40" t="s">
        <v>14</v>
      </c>
      <c r="B57" s="45">
        <f>B42+B43</f>
        <v>1974441.69</v>
      </c>
      <c r="C57" s="49">
        <f t="shared" ref="C57:D57" si="6">C42+C43</f>
        <v>2118161.88</v>
      </c>
      <c r="D57" s="45">
        <f t="shared" si="6"/>
        <v>2559986.1100000003</v>
      </c>
      <c r="E57" s="53">
        <f t="shared" si="0"/>
        <v>7.2790293442395848E-2</v>
      </c>
      <c r="F57" s="30">
        <f t="shared" si="0"/>
        <v>0.2085885097696123</v>
      </c>
    </row>
    <row r="58" spans="1:7" s="3" customFormat="1" ht="15" customHeight="1" x14ac:dyDescent="0.35">
      <c r="A58" s="42" t="s">
        <v>15</v>
      </c>
      <c r="B58" s="47">
        <f>+B54+B55-B56-B57</f>
        <v>-8556977.7599999961</v>
      </c>
      <c r="C58" s="51">
        <f>+C54+C55-C56-C57</f>
        <v>-10490668.11999999</v>
      </c>
      <c r="D58" s="47">
        <f t="shared" ref="D58" si="7">+D54+D55-D56-D57</f>
        <v>-8384113.1499999957</v>
      </c>
      <c r="E58" s="55">
        <f t="shared" si="0"/>
        <v>0.22597819162732002</v>
      </c>
      <c r="F58" s="35">
        <f t="shared" si="0"/>
        <v>-0.20080274639362017</v>
      </c>
      <c r="G58" s="4"/>
    </row>
    <row r="59" spans="1:7" ht="15" customHeight="1" x14ac:dyDescent="0.35">
      <c r="A59" s="40" t="s">
        <v>16</v>
      </c>
      <c r="B59" s="45">
        <f t="shared" ref="B59:D60" si="8">B20</f>
        <v>8700425.0200000014</v>
      </c>
      <c r="C59" s="49">
        <f t="shared" si="8"/>
        <v>7965665.7199999997</v>
      </c>
      <c r="D59" s="45">
        <f t="shared" si="8"/>
        <v>7731742.2799999993</v>
      </c>
      <c r="E59" s="53">
        <f t="shared" si="0"/>
        <v>-8.4450966281645168E-2</v>
      </c>
      <c r="F59" s="30">
        <f t="shared" si="0"/>
        <v>-2.9366464552067595E-2</v>
      </c>
    </row>
    <row r="60" spans="1:7" ht="15" customHeight="1" x14ac:dyDescent="0.35">
      <c r="A60" s="40" t="s">
        <v>17</v>
      </c>
      <c r="B60" s="45">
        <f t="shared" si="8"/>
        <v>0</v>
      </c>
      <c r="C60" s="49">
        <f t="shared" si="8"/>
        <v>0</v>
      </c>
      <c r="D60" s="45">
        <f t="shared" si="8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11969039.32</v>
      </c>
      <c r="C61" s="49">
        <f t="shared" ref="C61:D61" si="9">C48</f>
        <v>11157019.970000001</v>
      </c>
      <c r="D61" s="45">
        <f t="shared" si="9"/>
        <v>11777599.17</v>
      </c>
      <c r="E61" s="53">
        <f t="shared" si="0"/>
        <v>-6.7843318773557093E-2</v>
      </c>
      <c r="F61" s="30">
        <f t="shared" si="0"/>
        <v>5.5622307898405499E-2</v>
      </c>
    </row>
    <row r="62" spans="1:7" ht="15" customHeight="1" x14ac:dyDescent="0.35">
      <c r="A62" s="40" t="s">
        <v>19</v>
      </c>
      <c r="B62" s="45">
        <f>B44</f>
        <v>1029755.69</v>
      </c>
      <c r="C62" s="49">
        <f t="shared" ref="C62:D62" si="10">C44</f>
        <v>1089984.48</v>
      </c>
      <c r="D62" s="45">
        <f t="shared" si="10"/>
        <v>1029322.8</v>
      </c>
      <c r="E62" s="53">
        <f t="shared" si="0"/>
        <v>5.8488426512117719E-2</v>
      </c>
      <c r="F62" s="30">
        <f t="shared" si="0"/>
        <v>-5.5653709858327516E-2</v>
      </c>
    </row>
    <row r="63" spans="1:7" s="3" customFormat="1" ht="15" customHeight="1" thickBot="1" x14ac:dyDescent="0.4">
      <c r="A63" s="43" t="s">
        <v>20</v>
      </c>
      <c r="B63" s="48">
        <f>B58+B59+B60-B61-B62</f>
        <v>-12855347.749999994</v>
      </c>
      <c r="C63" s="52">
        <f t="shared" ref="C63:D63" si="11">C58+C59+C60-C61-C62</f>
        <v>-14772006.84999999</v>
      </c>
      <c r="D63" s="48">
        <f t="shared" si="11"/>
        <v>-13459292.839999996</v>
      </c>
      <c r="E63" s="56">
        <f t="shared" si="0"/>
        <v>0.14909430201917306</v>
      </c>
      <c r="F63" s="36">
        <f t="shared" si="0"/>
        <v>-8.8864974361963167E-2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10348323.609999999</v>
      </c>
      <c r="C65" s="26">
        <f t="shared" ref="C65:D65" si="12">C45</f>
        <v>9822234.9900000002</v>
      </c>
      <c r="D65" s="26">
        <f t="shared" si="12"/>
        <v>9955209.8900000006</v>
      </c>
      <c r="E65" s="27">
        <f t="shared" ref="E65:E66" si="13">+IF(ISBLANK(B65),"",+C65/B65-1)</f>
        <v>-5.083805259932328E-2</v>
      </c>
      <c r="F65" s="28">
        <f t="shared" ref="F65:F66" si="14">+IF(ISBLANK(C65),"",+D65/C65-1)</f>
        <v>1.3538150953971373E-2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5">B16</f>
        <v>6979509.7000000002</v>
      </c>
      <c r="C66" s="19">
        <f t="shared" si="15"/>
        <v>6282868.2999999998</v>
      </c>
      <c r="D66" s="19">
        <f t="shared" si="15"/>
        <v>6382964.4500000002</v>
      </c>
      <c r="E66" s="20">
        <f t="shared" si="13"/>
        <v>-9.9812369341645946E-2</v>
      </c>
      <c r="F66" s="30">
        <f t="shared" si="14"/>
        <v>1.5931600858162254E-2</v>
      </c>
    </row>
    <row r="67" spans="1:6" ht="15" customHeight="1" thickBot="1" x14ac:dyDescent="0.4">
      <c r="A67" s="207" t="s">
        <v>85</v>
      </c>
      <c r="B67" s="208">
        <f>B65-B66</f>
        <v>3368813.9099999992</v>
      </c>
      <c r="C67" s="208">
        <f t="shared" ref="C67:D67" si="16">C65-C66</f>
        <v>3539366.6900000004</v>
      </c>
      <c r="D67" s="208">
        <f t="shared" si="16"/>
        <v>3572245.4400000004</v>
      </c>
      <c r="E67" s="209">
        <f>+IF(ISBLANK(B67),"",+C67/B67-1)</f>
        <v>5.0626951964824141E-2</v>
      </c>
      <c r="F67" s="210">
        <f>+IF(ISBLANK(C67),"",+D67/C67-1)</f>
        <v>9.289444377971412E-3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EF23E-683C-425C-BC0E-6F82161EF7D1}">
  <sheetPr>
    <tabColor theme="5" tint="0.79998168889431442"/>
    <pageSetUpPr fitToPage="1"/>
  </sheetPr>
  <dimension ref="A1:G72"/>
  <sheetViews>
    <sheetView topLeftCell="A50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38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3304141.16</v>
      </c>
      <c r="C6" s="102">
        <v>3348323.28</v>
      </c>
      <c r="D6" s="101">
        <v>3520444.51</v>
      </c>
      <c r="E6" s="103">
        <f>+IF(ISBLANK(B6),"",+C6/B6-1)</f>
        <v>1.3371741054791775E-2</v>
      </c>
      <c r="F6" s="104">
        <f>+IF(ISBLANK(C6),"",+D6/C6-1)</f>
        <v>5.1405200635226578E-2</v>
      </c>
    </row>
    <row r="7" spans="1:6" ht="15" customHeight="1" x14ac:dyDescent="0.35">
      <c r="A7" s="105" t="s">
        <v>2</v>
      </c>
      <c r="B7" s="106">
        <v>1475627.43</v>
      </c>
      <c r="C7" s="107">
        <v>1675606.07</v>
      </c>
      <c r="D7" s="106">
        <v>1889737.47</v>
      </c>
      <c r="E7" s="108">
        <f t="shared" ref="E7:F63" si="0">+IF(ISBLANK(B7),"",+C7/B7-1)</f>
        <v>0.13552109152647041</v>
      </c>
      <c r="F7" s="109">
        <f t="shared" si="0"/>
        <v>0.12779340194202082</v>
      </c>
    </row>
    <row r="8" spans="1:6" ht="15" customHeight="1" x14ac:dyDescent="0.35">
      <c r="A8" s="105" t="s">
        <v>4</v>
      </c>
      <c r="B8" s="106">
        <v>84373.66</v>
      </c>
      <c r="C8" s="107">
        <v>146898.51999999999</v>
      </c>
      <c r="D8" s="106">
        <v>169267.20000000001</v>
      </c>
      <c r="E8" s="108">
        <f t="shared" si="0"/>
        <v>0.74104714670431493</v>
      </c>
      <c r="F8" s="109">
        <f t="shared" si="0"/>
        <v>0.15227301132782012</v>
      </c>
    </row>
    <row r="9" spans="1:6" ht="15" customHeight="1" x14ac:dyDescent="0.35">
      <c r="A9" s="105" t="s">
        <v>3</v>
      </c>
      <c r="B9" s="106">
        <v>98639.49</v>
      </c>
      <c r="C9" s="107">
        <v>163891.95000000001</v>
      </c>
      <c r="D9" s="106">
        <v>42600.67</v>
      </c>
      <c r="E9" s="108">
        <f t="shared" si="0"/>
        <v>0.66152470982970413</v>
      </c>
      <c r="F9" s="109">
        <f t="shared" si="0"/>
        <v>-0.74006856346513672</v>
      </c>
    </row>
    <row r="10" spans="1:6" ht="15" customHeight="1" x14ac:dyDescent="0.35">
      <c r="A10" s="110" t="s">
        <v>5</v>
      </c>
      <c r="B10" s="111">
        <v>116913.32</v>
      </c>
      <c r="C10" s="112">
        <v>87872.12</v>
      </c>
      <c r="D10" s="111">
        <v>20282.16</v>
      </c>
      <c r="E10" s="113">
        <f t="shared" si="0"/>
        <v>-0.24839941248781583</v>
      </c>
      <c r="F10" s="114">
        <f t="shared" si="0"/>
        <v>-0.76918549364690414</v>
      </c>
    </row>
    <row r="11" spans="1:6" s="3" customFormat="1" ht="15" customHeight="1" x14ac:dyDescent="0.35">
      <c r="A11" s="64" t="s">
        <v>62</v>
      </c>
      <c r="B11" s="67">
        <f>SUM(B6:B10)</f>
        <v>5079695.0600000005</v>
      </c>
      <c r="C11" s="70">
        <f t="shared" ref="C11:D11" si="1">SUM(C6:C10)</f>
        <v>5422591.9399999995</v>
      </c>
      <c r="D11" s="67">
        <f t="shared" si="1"/>
        <v>5642332.0099999998</v>
      </c>
      <c r="E11" s="73">
        <f t="shared" si="0"/>
        <v>6.7503437893376095E-2</v>
      </c>
      <c r="F11" s="38">
        <f t="shared" si="0"/>
        <v>4.0523069489901697E-2</v>
      </c>
    </row>
    <row r="12" spans="1:6" ht="15" customHeight="1" x14ac:dyDescent="0.35">
      <c r="A12" s="115" t="s">
        <v>29</v>
      </c>
      <c r="B12" s="116">
        <v>5743416.8499999996</v>
      </c>
      <c r="C12" s="117">
        <v>7873385</v>
      </c>
      <c r="D12" s="116">
        <v>7775324</v>
      </c>
      <c r="E12" s="118">
        <f t="shared" si="0"/>
        <v>0.37085383241858905</v>
      </c>
      <c r="F12" s="119">
        <f t="shared" si="0"/>
        <v>-1.2454744687323216E-2</v>
      </c>
    </row>
    <row r="13" spans="1:6" ht="15" customHeight="1" x14ac:dyDescent="0.35">
      <c r="A13" s="105" t="s">
        <v>60</v>
      </c>
      <c r="B13" s="106">
        <v>198449.32</v>
      </c>
      <c r="C13" s="107">
        <v>200835.31</v>
      </c>
      <c r="D13" s="106">
        <v>220884.24</v>
      </c>
      <c r="E13" s="108">
        <f t="shared" si="0"/>
        <v>1.2023170449765086E-2</v>
      </c>
      <c r="F13" s="109">
        <f t="shared" si="0"/>
        <v>9.9827714558759606E-2</v>
      </c>
    </row>
    <row r="14" spans="1:6" ht="15" customHeight="1" x14ac:dyDescent="0.35">
      <c r="A14" s="110" t="s">
        <v>61</v>
      </c>
      <c r="B14" s="111">
        <v>149345.33000000019</v>
      </c>
      <c r="C14" s="112">
        <v>350077.09999999963</v>
      </c>
      <c r="D14" s="111">
        <v>163610.29999999999</v>
      </c>
      <c r="E14" s="113">
        <f t="shared" si="0"/>
        <v>1.3440779835566281</v>
      </c>
      <c r="F14" s="114">
        <f t="shared" si="0"/>
        <v>-0.5326449516406524</v>
      </c>
    </row>
    <row r="15" spans="1:6" s="3" customFormat="1" ht="15" customHeight="1" x14ac:dyDescent="0.35">
      <c r="A15" s="64" t="s">
        <v>63</v>
      </c>
      <c r="B15" s="67">
        <f>SUM(B12:B14)</f>
        <v>6091211.5</v>
      </c>
      <c r="C15" s="70">
        <f t="shared" ref="C15:D15" si="2">SUM(C12:C14)</f>
        <v>8424297.4100000001</v>
      </c>
      <c r="D15" s="67">
        <f t="shared" si="2"/>
        <v>8159818.54</v>
      </c>
      <c r="E15" s="73">
        <f t="shared" si="0"/>
        <v>0.38302493847077868</v>
      </c>
      <c r="F15" s="38">
        <f t="shared" si="0"/>
        <v>-3.1394768860611766E-2</v>
      </c>
    </row>
    <row r="16" spans="1:6" s="11" customFormat="1" ht="15" customHeight="1" x14ac:dyDescent="0.35">
      <c r="A16" s="120" t="s">
        <v>74</v>
      </c>
      <c r="B16" s="121">
        <v>939625.08</v>
      </c>
      <c r="C16" s="122">
        <v>920640.08</v>
      </c>
      <c r="D16" s="121">
        <v>911099.48</v>
      </c>
      <c r="E16" s="123">
        <f t="shared" si="0"/>
        <v>-2.0204867243432845E-2</v>
      </c>
      <c r="F16" s="124">
        <f t="shared" si="0"/>
        <v>-1.0363007441518302E-2</v>
      </c>
    </row>
    <row r="17" spans="1:6" s="11" customFormat="1" ht="15" customHeight="1" x14ac:dyDescent="0.35">
      <c r="A17" s="125" t="s">
        <v>71</v>
      </c>
      <c r="B17" s="126">
        <v>246670.39</v>
      </c>
      <c r="C17" s="127">
        <v>45456.05</v>
      </c>
      <c r="D17" s="126">
        <v>0</v>
      </c>
      <c r="E17" s="128">
        <f t="shared" si="0"/>
        <v>-0.81572149782549908</v>
      </c>
      <c r="F17" s="129">
        <f t="shared" si="0"/>
        <v>-1</v>
      </c>
    </row>
    <row r="18" spans="1:6" s="11" customFormat="1" ht="15" customHeight="1" x14ac:dyDescent="0.35">
      <c r="A18" s="125" t="s">
        <v>72</v>
      </c>
      <c r="B18" s="126"/>
      <c r="C18" s="127"/>
      <c r="D18" s="126"/>
      <c r="E18" s="128" t="str">
        <f t="shared" si="0"/>
        <v/>
      </c>
      <c r="F18" s="129" t="str">
        <f t="shared" si="0"/>
        <v/>
      </c>
    </row>
    <row r="19" spans="1:6" s="11" customFormat="1" ht="15" customHeight="1" x14ac:dyDescent="0.35">
      <c r="A19" s="130" t="s">
        <v>73</v>
      </c>
      <c r="B19" s="131">
        <v>32570.26</v>
      </c>
      <c r="C19" s="132">
        <v>34646.400000000001</v>
      </c>
      <c r="D19" s="131">
        <v>37391.26</v>
      </c>
      <c r="E19" s="133">
        <f t="shared" si="0"/>
        <v>6.3743427286119481E-2</v>
      </c>
      <c r="F19" s="134">
        <f t="shared" si="0"/>
        <v>7.922496998245121E-2</v>
      </c>
    </row>
    <row r="20" spans="1:6" ht="15" customHeight="1" x14ac:dyDescent="0.35">
      <c r="A20" s="65" t="s">
        <v>84</v>
      </c>
      <c r="B20" s="68">
        <f>SUM(B16:B19)</f>
        <v>1218865.73</v>
      </c>
      <c r="C20" s="71">
        <f t="shared" ref="C20:D20" si="3">SUM(C16:C19)</f>
        <v>1000742.53</v>
      </c>
      <c r="D20" s="68">
        <f t="shared" si="3"/>
        <v>948490.74</v>
      </c>
      <c r="E20" s="74">
        <f t="shared" si="0"/>
        <v>-0.17895588876717372</v>
      </c>
      <c r="F20" s="32">
        <f t="shared" si="0"/>
        <v>-5.2213020266061894E-2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12389772.290000001</v>
      </c>
      <c r="C22" s="87">
        <f>C11+C15+C20+C21</f>
        <v>14847631.879999999</v>
      </c>
      <c r="D22" s="86">
        <f>D11+D15+D20+D21</f>
        <v>14750641.290000001</v>
      </c>
      <c r="E22" s="88">
        <f t="shared" si="0"/>
        <v>0.19837810836796232</v>
      </c>
      <c r="F22" s="89">
        <f t="shared" si="0"/>
        <v>-6.5323945787372217E-3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4658923.13</v>
      </c>
      <c r="C24" s="155">
        <v>5013128.25</v>
      </c>
      <c r="D24" s="155">
        <v>5441594.7199999997</v>
      </c>
      <c r="E24" s="156">
        <f t="shared" si="0"/>
        <v>7.6027251387597028E-2</v>
      </c>
      <c r="F24" s="104">
        <f t="shared" si="0"/>
        <v>8.546888262832697E-2</v>
      </c>
    </row>
    <row r="25" spans="1:6" ht="15" customHeight="1" x14ac:dyDescent="0.35">
      <c r="A25" s="157" t="s">
        <v>40</v>
      </c>
      <c r="B25" s="158">
        <v>2077529.44</v>
      </c>
      <c r="C25" s="158">
        <v>2216773.85</v>
      </c>
      <c r="D25" s="158">
        <v>2366268.77</v>
      </c>
      <c r="E25" s="159">
        <f t="shared" si="0"/>
        <v>6.7024036973454493E-2</v>
      </c>
      <c r="F25" s="109">
        <f t="shared" si="0"/>
        <v>6.7438056435030536E-2</v>
      </c>
    </row>
    <row r="26" spans="1:6" ht="15" customHeight="1" x14ac:dyDescent="0.35">
      <c r="A26" s="160" t="s">
        <v>41</v>
      </c>
      <c r="B26" s="161">
        <v>72855.930000000008</v>
      </c>
      <c r="C26" s="161">
        <v>59528.24</v>
      </c>
      <c r="D26" s="161">
        <v>59683.07</v>
      </c>
      <c r="E26" s="162">
        <f t="shared" si="0"/>
        <v>-0.18293212371319678</v>
      </c>
      <c r="F26" s="114">
        <f t="shared" si="0"/>
        <v>2.6009504060593436E-3</v>
      </c>
    </row>
    <row r="27" spans="1:6" ht="15" customHeight="1" x14ac:dyDescent="0.35">
      <c r="A27" s="31" t="s">
        <v>65</v>
      </c>
      <c r="B27" s="23">
        <f>B24+B25+B26</f>
        <v>6809308.5</v>
      </c>
      <c r="C27" s="23">
        <f t="shared" ref="C27:D27" si="4">C24+C25+C26</f>
        <v>7289430.3399999999</v>
      </c>
      <c r="D27" s="23">
        <f t="shared" si="4"/>
        <v>7867546.5600000005</v>
      </c>
      <c r="E27" s="24">
        <f t="shared" si="0"/>
        <v>7.0509632512611109E-2</v>
      </c>
      <c r="F27" s="32">
        <f t="shared" si="0"/>
        <v>7.9308833891675645E-2</v>
      </c>
    </row>
    <row r="28" spans="1:6" ht="15" customHeight="1" x14ac:dyDescent="0.35">
      <c r="A28" s="33" t="s">
        <v>66</v>
      </c>
      <c r="B28" s="23">
        <v>1443559.68</v>
      </c>
      <c r="C28" s="23">
        <v>1782560.02</v>
      </c>
      <c r="D28" s="23">
        <f>1905945.46</f>
        <v>1905945.46</v>
      </c>
      <c r="E28" s="24">
        <f t="shared" si="0"/>
        <v>0.23483638722854883</v>
      </c>
      <c r="F28" s="32">
        <f t="shared" si="0"/>
        <v>6.9218112498674822E-2</v>
      </c>
    </row>
    <row r="29" spans="1:6" s="6" customFormat="1" ht="15" customHeight="1" x14ac:dyDescent="0.35">
      <c r="A29" s="182" t="s">
        <v>26</v>
      </c>
      <c r="B29" s="183">
        <v>1307025.76</v>
      </c>
      <c r="C29" s="183">
        <v>1628466.97</v>
      </c>
      <c r="D29" s="183">
        <v>1736432.52</v>
      </c>
      <c r="E29" s="184">
        <f t="shared" si="0"/>
        <v>0.24593333952346885</v>
      </c>
      <c r="F29" s="185">
        <f t="shared" si="0"/>
        <v>6.6298888457037686E-2</v>
      </c>
    </row>
    <row r="30" spans="1:6" s="163" customFormat="1" ht="15" customHeight="1" x14ac:dyDescent="0.35">
      <c r="A30" s="171" t="s">
        <v>76</v>
      </c>
      <c r="B30" s="172">
        <f>SUM(B31:B36)</f>
        <v>520157.32999999996</v>
      </c>
      <c r="C30" s="172">
        <f t="shared" ref="C30:D30" si="5">SUM(C31:C36)</f>
        <v>817867.71000000008</v>
      </c>
      <c r="D30" s="172">
        <f t="shared" si="5"/>
        <v>876489.12</v>
      </c>
      <c r="E30" s="169">
        <f t="shared" si="0"/>
        <v>0.57234679361338636</v>
      </c>
      <c r="F30" s="170">
        <f t="shared" si="0"/>
        <v>7.1675907097493718E-2</v>
      </c>
    </row>
    <row r="31" spans="1:6" s="9" customFormat="1" ht="15" customHeight="1" x14ac:dyDescent="0.35">
      <c r="A31" s="165" t="s">
        <v>21</v>
      </c>
      <c r="B31" s="166">
        <v>372021.1</v>
      </c>
      <c r="C31" s="166">
        <v>608647.03</v>
      </c>
      <c r="D31" s="166">
        <v>648569.59</v>
      </c>
      <c r="E31" s="167">
        <f t="shared" si="0"/>
        <v>0.63605513235674005</v>
      </c>
      <c r="F31" s="168">
        <f t="shared" si="0"/>
        <v>6.5592302323400631E-2</v>
      </c>
    </row>
    <row r="32" spans="1:6" s="9" customFormat="1" ht="15" customHeight="1" x14ac:dyDescent="0.35">
      <c r="A32" s="165" t="s">
        <v>22</v>
      </c>
      <c r="B32" s="166">
        <v>6669.49</v>
      </c>
      <c r="C32" s="166">
        <v>14364.73</v>
      </c>
      <c r="D32" s="166">
        <v>13123.23</v>
      </c>
      <c r="E32" s="167">
        <f t="shared" si="0"/>
        <v>1.1537973668151538</v>
      </c>
      <c r="F32" s="168">
        <f t="shared" si="0"/>
        <v>-8.6426963820412928E-2</v>
      </c>
    </row>
    <row r="33" spans="1:6" s="9" customFormat="1" ht="15" customHeight="1" x14ac:dyDescent="0.35">
      <c r="A33" s="165" t="s">
        <v>23</v>
      </c>
      <c r="B33" s="166">
        <v>15643.71</v>
      </c>
      <c r="C33" s="166">
        <v>3587.55</v>
      </c>
      <c r="D33" s="166">
        <v>3377.88</v>
      </c>
      <c r="E33" s="167">
        <f t="shared" si="0"/>
        <v>-0.77067140723012639</v>
      </c>
      <c r="F33" s="168">
        <f t="shared" si="0"/>
        <v>-5.8443784755613182E-2</v>
      </c>
    </row>
    <row r="34" spans="1:6" s="9" customFormat="1" ht="15" customHeight="1" x14ac:dyDescent="0.35">
      <c r="A34" s="165" t="s">
        <v>24</v>
      </c>
      <c r="B34" s="166"/>
      <c r="C34" s="166"/>
      <c r="D34" s="166"/>
      <c r="E34" s="167" t="str">
        <f t="shared" si="0"/>
        <v/>
      </c>
      <c r="F34" s="168" t="str">
        <f t="shared" si="0"/>
        <v/>
      </c>
    </row>
    <row r="35" spans="1:6" s="9" customFormat="1" ht="15" customHeight="1" x14ac:dyDescent="0.35">
      <c r="A35" s="165" t="s">
        <v>25</v>
      </c>
      <c r="B35" s="166">
        <v>125823.03</v>
      </c>
      <c r="C35" s="166">
        <v>191268.4</v>
      </c>
      <c r="D35" s="166">
        <v>211418.42</v>
      </c>
      <c r="E35" s="167">
        <f t="shared" si="0"/>
        <v>0.52013824496199135</v>
      </c>
      <c r="F35" s="168">
        <f t="shared" si="0"/>
        <v>0.10534944611864794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376931.42</v>
      </c>
      <c r="C37" s="172">
        <v>413657.2</v>
      </c>
      <c r="D37" s="172">
        <v>543406.92999999993</v>
      </c>
      <c r="E37" s="169">
        <f t="shared" si="0"/>
        <v>9.7433586194539235E-2</v>
      </c>
      <c r="F37" s="170">
        <f t="shared" si="0"/>
        <v>0.31366486549732464</v>
      </c>
    </row>
    <row r="38" spans="1:6" s="7" customFormat="1" ht="15" customHeight="1" x14ac:dyDescent="0.35">
      <c r="A38" s="173" t="s">
        <v>70</v>
      </c>
      <c r="B38" s="174">
        <v>357501.77</v>
      </c>
      <c r="C38" s="174">
        <v>374665.2</v>
      </c>
      <c r="D38" s="174">
        <v>481406.82</v>
      </c>
      <c r="E38" s="169">
        <f t="shared" si="0"/>
        <v>4.800935670891926E-2</v>
      </c>
      <c r="F38" s="170">
        <f t="shared" si="0"/>
        <v>0.28489867753930698</v>
      </c>
    </row>
    <row r="39" spans="1:6" s="10" customFormat="1" ht="15" customHeight="1" x14ac:dyDescent="0.35">
      <c r="A39" s="171" t="s">
        <v>78</v>
      </c>
      <c r="B39" s="172">
        <v>545275.87000000011</v>
      </c>
      <c r="C39" s="172">
        <v>509472.74999999994</v>
      </c>
      <c r="D39" s="172">
        <v>558298.16999999993</v>
      </c>
      <c r="E39" s="169">
        <f t="shared" si="0"/>
        <v>-6.5660561873020606E-2</v>
      </c>
      <c r="F39" s="170">
        <f t="shared" si="0"/>
        <v>9.5835194325898598E-2</v>
      </c>
    </row>
    <row r="40" spans="1:6" s="10" customFormat="1" ht="15" customHeight="1" x14ac:dyDescent="0.35">
      <c r="A40" s="175" t="s">
        <v>79</v>
      </c>
      <c r="B40" s="176">
        <v>962009.94000000006</v>
      </c>
      <c r="C40" s="176">
        <v>1166085.6900000002</v>
      </c>
      <c r="D40" s="176">
        <f>1218523.44</f>
        <v>1218523.44</v>
      </c>
      <c r="E40" s="177">
        <f t="shared" si="0"/>
        <v>0.21213476234975293</v>
      </c>
      <c r="F40" s="178">
        <f t="shared" si="0"/>
        <v>4.4969036537957807E-2</v>
      </c>
    </row>
    <row r="41" spans="1:6" ht="15" customHeight="1" x14ac:dyDescent="0.35">
      <c r="A41" s="31" t="s">
        <v>75</v>
      </c>
      <c r="B41" s="23">
        <f>+B30+B37+B39+B40</f>
        <v>2404374.56</v>
      </c>
      <c r="C41" s="23">
        <f>+C30+C37+C39+C40</f>
        <v>2907083.3500000006</v>
      </c>
      <c r="D41" s="23">
        <f>+D30+D37+D39+D40</f>
        <v>3196717.6599999997</v>
      </c>
      <c r="E41" s="24">
        <f t="shared" si="0"/>
        <v>0.20908089711280287</v>
      </c>
      <c r="F41" s="32">
        <f t="shared" si="0"/>
        <v>9.9630548948656417E-2</v>
      </c>
    </row>
    <row r="42" spans="1:6" ht="15" customHeight="1" x14ac:dyDescent="0.35">
      <c r="A42" s="33" t="s">
        <v>67</v>
      </c>
      <c r="B42" s="23">
        <v>123614.92000000001</v>
      </c>
      <c r="C42" s="23">
        <v>253596.32</v>
      </c>
      <c r="D42" s="23">
        <v>173655.69</v>
      </c>
      <c r="E42" s="24">
        <f t="shared" si="0"/>
        <v>1.0515025208931088</v>
      </c>
      <c r="F42" s="32">
        <f t="shared" si="0"/>
        <v>-0.31522787870107893</v>
      </c>
    </row>
    <row r="43" spans="1:6" ht="15" customHeight="1" x14ac:dyDescent="0.35">
      <c r="A43" s="33" t="s">
        <v>68</v>
      </c>
      <c r="B43" s="23">
        <v>98715.16</v>
      </c>
      <c r="C43" s="23">
        <v>60000</v>
      </c>
      <c r="D43" s="23">
        <v>79840.800000000003</v>
      </c>
      <c r="E43" s="24">
        <f t="shared" si="0"/>
        <v>-0.39219062198754484</v>
      </c>
      <c r="F43" s="32">
        <f t="shared" si="0"/>
        <v>0.33068000000000008</v>
      </c>
    </row>
    <row r="44" spans="1:6" ht="15" customHeight="1" x14ac:dyDescent="0.35">
      <c r="A44" s="33" t="s">
        <v>69</v>
      </c>
      <c r="B44" s="23">
        <v>3311.8</v>
      </c>
      <c r="C44" s="23"/>
      <c r="D44" s="23"/>
      <c r="E44" s="24">
        <f t="shared" si="0"/>
        <v>-1</v>
      </c>
      <c r="F44" s="32" t="str">
        <f t="shared" si="0"/>
        <v/>
      </c>
    </row>
    <row r="45" spans="1:6" ht="15" customHeight="1" x14ac:dyDescent="0.35">
      <c r="A45" s="186" t="s">
        <v>80</v>
      </c>
      <c r="B45" s="187">
        <v>1164970.51</v>
      </c>
      <c r="C45" s="187">
        <v>1210941.75</v>
      </c>
      <c r="D45" s="187">
        <v>1256854.6100000001</v>
      </c>
      <c r="E45" s="188">
        <f t="shared" si="0"/>
        <v>3.9461290741170663E-2</v>
      </c>
      <c r="F45" s="189">
        <f t="shared" si="0"/>
        <v>3.7915002930570374E-2</v>
      </c>
    </row>
    <row r="46" spans="1:6" ht="15" customHeight="1" x14ac:dyDescent="0.35">
      <c r="A46" s="171" t="s">
        <v>81</v>
      </c>
      <c r="B46" s="190"/>
      <c r="C46" s="190"/>
      <c r="D46" s="190"/>
      <c r="E46" s="191" t="str">
        <f t="shared" si="0"/>
        <v/>
      </c>
      <c r="F46" s="192" t="str">
        <f t="shared" si="0"/>
        <v/>
      </c>
    </row>
    <row r="47" spans="1:6" ht="15" customHeight="1" x14ac:dyDescent="0.35">
      <c r="A47" s="175" t="s">
        <v>82</v>
      </c>
      <c r="B47" s="193">
        <v>7070.31</v>
      </c>
      <c r="C47" s="193">
        <v>401613.38</v>
      </c>
      <c r="D47" s="193"/>
      <c r="E47" s="194">
        <f t="shared" si="0"/>
        <v>55.802796482756762</v>
      </c>
      <c r="F47" s="195">
        <f t="shared" si="0"/>
        <v>-1</v>
      </c>
    </row>
    <row r="48" spans="1:6" ht="15" customHeight="1" thickBot="1" x14ac:dyDescent="0.4">
      <c r="A48" s="90" t="s">
        <v>83</v>
      </c>
      <c r="B48" s="91">
        <v>1172040.82</v>
      </c>
      <c r="C48" s="91">
        <v>1612555.13</v>
      </c>
      <c r="D48" s="91">
        <v>1256854.6100000001</v>
      </c>
      <c r="E48" s="92">
        <f t="shared" si="0"/>
        <v>0.37585236152440471</v>
      </c>
      <c r="F48" s="79">
        <f t="shared" si="0"/>
        <v>-0.2205819282594077</v>
      </c>
    </row>
    <row r="49" spans="1:7" s="3" customFormat="1" ht="15" customHeight="1" thickBot="1" x14ac:dyDescent="0.4">
      <c r="A49" s="96" t="s">
        <v>28</v>
      </c>
      <c r="B49" s="97">
        <f>B27+B28+B41+B42+B43+B44+B48</f>
        <v>12054925.440000001</v>
      </c>
      <c r="C49" s="97">
        <f>C27+C28+C41+C42+C43+C44+C48</f>
        <v>13905225.16</v>
      </c>
      <c r="D49" s="97">
        <f>D27+D28+D41+D42+D43+D44+D48</f>
        <v>14480560.779999999</v>
      </c>
      <c r="E49" s="98">
        <f t="shared" si="0"/>
        <v>0.15348910527977511</v>
      </c>
      <c r="F49" s="99">
        <f t="shared" si="0"/>
        <v>4.1375498302251179E-2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5079695.0600000005</v>
      </c>
      <c r="C51" s="58">
        <f>+C11</f>
        <v>5422591.9399999995</v>
      </c>
      <c r="D51" s="44">
        <f>+D11</f>
        <v>5642332.0099999998</v>
      </c>
      <c r="E51" s="59">
        <f t="shared" si="0"/>
        <v>6.7503437893376095E-2</v>
      </c>
      <c r="F51" s="28">
        <f t="shared" si="0"/>
        <v>4.0523069489901697E-2</v>
      </c>
    </row>
    <row r="52" spans="1:7" ht="15" customHeight="1" x14ac:dyDescent="0.35">
      <c r="A52" s="40" t="s">
        <v>9</v>
      </c>
      <c r="B52" s="45">
        <f>+B28</f>
        <v>1443559.68</v>
      </c>
      <c r="C52" s="49">
        <f>+C28</f>
        <v>1782560.02</v>
      </c>
      <c r="D52" s="45">
        <f>+D28</f>
        <v>1905945.46</v>
      </c>
      <c r="E52" s="53">
        <f t="shared" si="0"/>
        <v>0.23483638722854883</v>
      </c>
      <c r="F52" s="30">
        <f t="shared" si="0"/>
        <v>6.9218112498674822E-2</v>
      </c>
    </row>
    <row r="53" spans="1:7" ht="15" customHeight="1" x14ac:dyDescent="0.35">
      <c r="A53" s="40" t="s">
        <v>10</v>
      </c>
      <c r="B53" s="45">
        <f>+B41</f>
        <v>2404374.56</v>
      </c>
      <c r="C53" s="49">
        <f>+C41</f>
        <v>2907083.3500000006</v>
      </c>
      <c r="D53" s="45">
        <f>+D41</f>
        <v>3196717.6599999997</v>
      </c>
      <c r="E53" s="53">
        <f t="shared" si="0"/>
        <v>0.20908089711280287</v>
      </c>
      <c r="F53" s="30">
        <f t="shared" si="0"/>
        <v>9.9630548948656417E-2</v>
      </c>
    </row>
    <row r="54" spans="1:7" s="3" customFormat="1" ht="15" customHeight="1" x14ac:dyDescent="0.35">
      <c r="A54" s="41" t="s">
        <v>11</v>
      </c>
      <c r="B54" s="46">
        <f>B51-B52-B53</f>
        <v>1231760.8200000008</v>
      </c>
      <c r="C54" s="50">
        <f t="shared" ref="C54:D54" si="6">C51-C52-C53</f>
        <v>732948.5699999989</v>
      </c>
      <c r="D54" s="46">
        <f t="shared" si="6"/>
        <v>539668.89000000013</v>
      </c>
      <c r="E54" s="54">
        <f t="shared" si="0"/>
        <v>-0.40495869157455544</v>
      </c>
      <c r="F54" s="34">
        <f t="shared" si="0"/>
        <v>-0.26370155821437657</v>
      </c>
      <c r="G54" s="4"/>
    </row>
    <row r="55" spans="1:7" ht="15" customHeight="1" x14ac:dyDescent="0.35">
      <c r="A55" s="40" t="s">
        <v>12</v>
      </c>
      <c r="B55" s="45">
        <f>B15</f>
        <v>6091211.5</v>
      </c>
      <c r="C55" s="49">
        <f>C15</f>
        <v>8424297.4100000001</v>
      </c>
      <c r="D55" s="45">
        <f>D15</f>
        <v>8159818.54</v>
      </c>
      <c r="E55" s="53">
        <f t="shared" si="0"/>
        <v>0.38302493847077868</v>
      </c>
      <c r="F55" s="30">
        <f t="shared" si="0"/>
        <v>-3.1394768860611766E-2</v>
      </c>
    </row>
    <row r="56" spans="1:7" ht="15" customHeight="1" x14ac:dyDescent="0.35">
      <c r="A56" s="40" t="s">
        <v>13</v>
      </c>
      <c r="B56" s="45">
        <f>B27</f>
        <v>6809308.5</v>
      </c>
      <c r="C56" s="49">
        <f>C27</f>
        <v>7289430.3399999999</v>
      </c>
      <c r="D56" s="45">
        <f>D27</f>
        <v>7867546.5600000005</v>
      </c>
      <c r="E56" s="53">
        <f t="shared" si="0"/>
        <v>7.0509632512611109E-2</v>
      </c>
      <c r="F56" s="30">
        <f t="shared" si="0"/>
        <v>7.9308833891675645E-2</v>
      </c>
    </row>
    <row r="57" spans="1:7" ht="15" customHeight="1" x14ac:dyDescent="0.35">
      <c r="A57" s="40" t="s">
        <v>14</v>
      </c>
      <c r="B57" s="45">
        <f>B42+B43</f>
        <v>222330.08000000002</v>
      </c>
      <c r="C57" s="49">
        <f t="shared" ref="C57:D57" si="7">C42+C43</f>
        <v>313596.32</v>
      </c>
      <c r="D57" s="45">
        <f t="shared" si="7"/>
        <v>253496.49</v>
      </c>
      <c r="E57" s="53">
        <f t="shared" si="0"/>
        <v>0.4104988402828802</v>
      </c>
      <c r="F57" s="30">
        <f t="shared" si="0"/>
        <v>-0.19164711499165554</v>
      </c>
    </row>
    <row r="58" spans="1:7" s="3" customFormat="1" ht="15" customHeight="1" x14ac:dyDescent="0.35">
      <c r="A58" s="42" t="s">
        <v>15</v>
      </c>
      <c r="B58" s="47">
        <f>+B54+B55-B56-B57</f>
        <v>291333.74000000028</v>
      </c>
      <c r="C58" s="51">
        <f>+C54+C55-C56-C57</f>
        <v>1554219.3199999987</v>
      </c>
      <c r="D58" s="47">
        <f t="shared" ref="D58" si="8">+D54+D55-D56-D57</f>
        <v>578444.37999999919</v>
      </c>
      <c r="E58" s="55">
        <f t="shared" si="0"/>
        <v>4.3348414776812225</v>
      </c>
      <c r="F58" s="35">
        <f t="shared" si="0"/>
        <v>-0.62782319550628185</v>
      </c>
      <c r="G58" s="4"/>
    </row>
    <row r="59" spans="1:7" ht="15" customHeight="1" x14ac:dyDescent="0.35">
      <c r="A59" s="40" t="s">
        <v>16</v>
      </c>
      <c r="B59" s="45">
        <f t="shared" ref="B59:D60" si="9">B20</f>
        <v>1218865.73</v>
      </c>
      <c r="C59" s="49">
        <f t="shared" si="9"/>
        <v>1000742.53</v>
      </c>
      <c r="D59" s="45">
        <f t="shared" si="9"/>
        <v>948490.74</v>
      </c>
      <c r="E59" s="53">
        <f t="shared" si="0"/>
        <v>-0.17895588876717372</v>
      </c>
      <c r="F59" s="30">
        <f t="shared" si="0"/>
        <v>-5.2213020266061894E-2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1172040.82</v>
      </c>
      <c r="C61" s="49">
        <f t="shared" ref="C61:D61" si="10">C48</f>
        <v>1612555.13</v>
      </c>
      <c r="D61" s="45">
        <f t="shared" si="10"/>
        <v>1256854.6100000001</v>
      </c>
      <c r="E61" s="53">
        <f t="shared" si="0"/>
        <v>0.37585236152440471</v>
      </c>
      <c r="F61" s="30">
        <f t="shared" si="0"/>
        <v>-0.2205819282594077</v>
      </c>
    </row>
    <row r="62" spans="1:7" ht="15" customHeight="1" x14ac:dyDescent="0.35">
      <c r="A62" s="40" t="s">
        <v>19</v>
      </c>
      <c r="B62" s="45">
        <f>B44</f>
        <v>3311.8</v>
      </c>
      <c r="C62" s="49">
        <f t="shared" ref="C62:D62" si="11">C44</f>
        <v>0</v>
      </c>
      <c r="D62" s="45">
        <f t="shared" si="11"/>
        <v>0</v>
      </c>
      <c r="E62" s="53">
        <f t="shared" si="0"/>
        <v>-1</v>
      </c>
      <c r="F62" s="30" t="e">
        <f t="shared" si="0"/>
        <v>#DIV/0!</v>
      </c>
    </row>
    <row r="63" spans="1:7" s="3" customFormat="1" ht="15" customHeight="1" thickBot="1" x14ac:dyDescent="0.4">
      <c r="A63" s="43" t="s">
        <v>20</v>
      </c>
      <c r="B63" s="48">
        <f>B58+B59+B60-B61-B62</f>
        <v>334846.85000000015</v>
      </c>
      <c r="C63" s="52">
        <f t="shared" ref="C63:D63" si="12">C58+C59+C60-C61-C62</f>
        <v>942406.71999999881</v>
      </c>
      <c r="D63" s="48">
        <f t="shared" si="12"/>
        <v>270080.50999999908</v>
      </c>
      <c r="E63" s="56">
        <f t="shared" si="0"/>
        <v>1.8144410496918169</v>
      </c>
      <c r="F63" s="36">
        <f t="shared" si="0"/>
        <v>-0.71341406606268742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1164970.51</v>
      </c>
      <c r="C65" s="26">
        <f t="shared" ref="C65:D65" si="13">C45</f>
        <v>1210941.75</v>
      </c>
      <c r="D65" s="26">
        <f t="shared" si="13"/>
        <v>1256854.6100000001</v>
      </c>
      <c r="E65" s="27">
        <f t="shared" ref="E65:E66" si="14">+IF(ISBLANK(B65),"",+C65/B65-1)</f>
        <v>3.9461290741170663E-2</v>
      </c>
      <c r="F65" s="28">
        <f t="shared" ref="F65:F66" si="15">+IF(ISBLANK(C65),"",+D65/C65-1)</f>
        <v>3.7915002930570374E-2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939625.08</v>
      </c>
      <c r="C66" s="19">
        <f t="shared" si="16"/>
        <v>920640.08</v>
      </c>
      <c r="D66" s="19">
        <f t="shared" si="16"/>
        <v>911099.48</v>
      </c>
      <c r="E66" s="20">
        <f t="shared" si="14"/>
        <v>-2.0204867243432845E-2</v>
      </c>
      <c r="F66" s="30">
        <f t="shared" si="15"/>
        <v>-1.0363007441518302E-2</v>
      </c>
    </row>
    <row r="67" spans="1:6" ht="15" customHeight="1" thickBot="1" x14ac:dyDescent="0.4">
      <c r="A67" s="207" t="s">
        <v>85</v>
      </c>
      <c r="B67" s="208">
        <f>B65-B66</f>
        <v>225345.43000000005</v>
      </c>
      <c r="C67" s="208">
        <f t="shared" ref="C67:D67" si="17">C65-C66</f>
        <v>290301.67000000004</v>
      </c>
      <c r="D67" s="208">
        <f t="shared" si="17"/>
        <v>345755.13000000012</v>
      </c>
      <c r="E67" s="209">
        <f>+IF(ISBLANK(B67),"",+C67/B67-1)</f>
        <v>0.28825186292883753</v>
      </c>
      <c r="F67" s="210">
        <f>+IF(ISBLANK(C67),"",+D67/C67-1)</f>
        <v>0.19102012055252748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FEF68-D880-468F-A40B-2D626A499F40}">
  <sheetPr>
    <tabColor theme="5" tint="0.79998168889431442"/>
    <pageSetUpPr fitToPage="1"/>
  </sheetPr>
  <dimension ref="A1:G72"/>
  <sheetViews>
    <sheetView topLeftCell="A32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48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26166347.18</v>
      </c>
      <c r="C6" s="102">
        <v>27283170.5</v>
      </c>
      <c r="D6" s="101">
        <v>28757425.27</v>
      </c>
      <c r="E6" s="103">
        <f>+IF(ISBLANK(B6),"",+C6/B6-1)</f>
        <v>4.2681667116823752E-2</v>
      </c>
      <c r="F6" s="104">
        <f>+IF(ISBLANK(C6),"",+D6/C6-1)</f>
        <v>5.4035317119760728E-2</v>
      </c>
    </row>
    <row r="7" spans="1:6" ht="15" customHeight="1" x14ac:dyDescent="0.35">
      <c r="A7" s="105" t="s">
        <v>2</v>
      </c>
      <c r="B7" s="106">
        <v>6985685.46</v>
      </c>
      <c r="C7" s="107">
        <v>7938274.7599999998</v>
      </c>
      <c r="D7" s="106">
        <v>8656034.3300000001</v>
      </c>
      <c r="E7" s="108">
        <f t="shared" ref="E7:F63" si="0">+IF(ISBLANK(B7),"",+C7/B7-1)</f>
        <v>0.13636303916838521</v>
      </c>
      <c r="F7" s="109">
        <f t="shared" si="0"/>
        <v>9.0417577080690537E-2</v>
      </c>
    </row>
    <row r="8" spans="1:6" ht="15" customHeight="1" x14ac:dyDescent="0.35">
      <c r="A8" s="105" t="s">
        <v>4</v>
      </c>
      <c r="B8" s="106">
        <v>622846</v>
      </c>
      <c r="C8" s="107">
        <v>720243.52</v>
      </c>
      <c r="D8" s="106">
        <v>198799.01</v>
      </c>
      <c r="E8" s="108">
        <f t="shared" si="0"/>
        <v>0.15637496267135065</v>
      </c>
      <c r="F8" s="109">
        <f t="shared" si="0"/>
        <v>-0.72398361876272066</v>
      </c>
    </row>
    <row r="9" spans="1:6" ht="15" customHeight="1" x14ac:dyDescent="0.35">
      <c r="A9" s="105" t="s">
        <v>3</v>
      </c>
      <c r="B9" s="106">
        <v>146961.97</v>
      </c>
      <c r="C9" s="107">
        <v>234854.64</v>
      </c>
      <c r="D9" s="106">
        <v>224379.19</v>
      </c>
      <c r="E9" s="108">
        <f t="shared" si="0"/>
        <v>0.59806404337122054</v>
      </c>
      <c r="F9" s="109">
        <f t="shared" si="0"/>
        <v>-4.4603972908519141E-2</v>
      </c>
    </row>
    <row r="10" spans="1:6" ht="15" customHeight="1" x14ac:dyDescent="0.35">
      <c r="A10" s="110" t="s">
        <v>5</v>
      </c>
      <c r="B10" s="111">
        <v>877233.18</v>
      </c>
      <c r="C10" s="112">
        <v>929943.6</v>
      </c>
      <c r="D10" s="111">
        <v>1323249.46</v>
      </c>
      <c r="E10" s="113">
        <f t="shared" si="0"/>
        <v>6.0087125295465782E-2</v>
      </c>
      <c r="F10" s="114">
        <f t="shared" si="0"/>
        <v>0.42293517585367546</v>
      </c>
    </row>
    <row r="11" spans="1:6" s="3" customFormat="1" ht="15" customHeight="1" x14ac:dyDescent="0.35">
      <c r="A11" s="64" t="s">
        <v>62</v>
      </c>
      <c r="B11" s="67">
        <f>SUM(B6:B10)</f>
        <v>34799073.789999999</v>
      </c>
      <c r="C11" s="70">
        <f t="shared" ref="C11:D11" si="1">SUM(C6:C10)</f>
        <v>37106487.020000003</v>
      </c>
      <c r="D11" s="67">
        <f t="shared" si="1"/>
        <v>39159887.259999998</v>
      </c>
      <c r="E11" s="73">
        <f t="shared" si="0"/>
        <v>6.6306742642761707E-2</v>
      </c>
      <c r="F11" s="38">
        <f t="shared" si="0"/>
        <v>5.5338039380910198E-2</v>
      </c>
    </row>
    <row r="12" spans="1:6" ht="15" customHeight="1" x14ac:dyDescent="0.35">
      <c r="A12" s="115" t="s">
        <v>29</v>
      </c>
      <c r="B12" s="116">
        <v>27797647.52</v>
      </c>
      <c r="C12" s="117">
        <v>32507487.73</v>
      </c>
      <c r="D12" s="116">
        <v>33097485.559999999</v>
      </c>
      <c r="E12" s="118">
        <f t="shared" si="0"/>
        <v>0.16943305028281053</v>
      </c>
      <c r="F12" s="119">
        <f t="shared" si="0"/>
        <v>1.8149597868047707E-2</v>
      </c>
    </row>
    <row r="13" spans="1:6" ht="15" customHeight="1" x14ac:dyDescent="0.35">
      <c r="A13" s="105" t="s">
        <v>60</v>
      </c>
      <c r="B13" s="106">
        <v>1548874.09</v>
      </c>
      <c r="C13" s="107">
        <v>1641472.39</v>
      </c>
      <c r="D13" s="106">
        <v>1836761.1</v>
      </c>
      <c r="E13" s="108">
        <f t="shared" si="0"/>
        <v>5.9784265614514664E-2</v>
      </c>
      <c r="F13" s="109">
        <f t="shared" si="0"/>
        <v>0.11897166908789747</v>
      </c>
    </row>
    <row r="14" spans="1:6" ht="15" customHeight="1" x14ac:dyDescent="0.35">
      <c r="A14" s="110" t="s">
        <v>61</v>
      </c>
      <c r="B14" s="111">
        <v>1170981.6700000002</v>
      </c>
      <c r="C14" s="112">
        <v>2185399.4999999972</v>
      </c>
      <c r="D14" s="111">
        <v>1748366.4700000021</v>
      </c>
      <c r="E14" s="113">
        <f t="shared" si="0"/>
        <v>0.8662969335805204</v>
      </c>
      <c r="F14" s="114">
        <f t="shared" si="0"/>
        <v>-0.19997855312037716</v>
      </c>
    </row>
    <row r="15" spans="1:6" s="3" customFormat="1" ht="15" customHeight="1" x14ac:dyDescent="0.35">
      <c r="A15" s="64" t="s">
        <v>63</v>
      </c>
      <c r="B15" s="67">
        <f>SUM(B12:B14)</f>
        <v>30517503.280000001</v>
      </c>
      <c r="C15" s="70">
        <f t="shared" ref="C15:D15" si="2">SUM(C12:C14)</f>
        <v>36334359.619999997</v>
      </c>
      <c r="D15" s="67">
        <f t="shared" si="2"/>
        <v>36682613.129999995</v>
      </c>
      <c r="E15" s="73">
        <f t="shared" si="0"/>
        <v>0.19060721601731223</v>
      </c>
      <c r="F15" s="38">
        <f t="shared" si="0"/>
        <v>9.5846882576762216E-3</v>
      </c>
    </row>
    <row r="16" spans="1:6" s="11" customFormat="1" ht="15" customHeight="1" x14ac:dyDescent="0.35">
      <c r="A16" s="120" t="s">
        <v>74</v>
      </c>
      <c r="B16" s="121">
        <v>4686740.01</v>
      </c>
      <c r="C16" s="122">
        <f>4170659.01+32253.41</f>
        <v>4202912.42</v>
      </c>
      <c r="D16" s="121">
        <v>6277499.2599999998</v>
      </c>
      <c r="E16" s="123">
        <f t="shared" si="0"/>
        <v>-0.10323328987049996</v>
      </c>
      <c r="F16" s="124">
        <f t="shared" si="0"/>
        <v>0.49360696409657745</v>
      </c>
    </row>
    <row r="17" spans="1:6" s="11" customFormat="1" ht="15" customHeight="1" x14ac:dyDescent="0.35">
      <c r="A17" s="125" t="s">
        <v>71</v>
      </c>
      <c r="B17" s="126">
        <v>20000</v>
      </c>
      <c r="C17" s="127">
        <v>220264</v>
      </c>
      <c r="D17" s="126">
        <v>48297</v>
      </c>
      <c r="E17" s="128">
        <f t="shared" si="0"/>
        <v>10.013199999999999</v>
      </c>
      <c r="F17" s="129">
        <f t="shared" si="0"/>
        <v>-0.78073130425307813</v>
      </c>
    </row>
    <row r="18" spans="1:6" s="11" customFormat="1" ht="15" customHeight="1" x14ac:dyDescent="0.35">
      <c r="A18" s="125" t="s">
        <v>72</v>
      </c>
      <c r="B18" s="126"/>
      <c r="C18" s="127"/>
      <c r="D18" s="126"/>
      <c r="E18" s="128" t="str">
        <f t="shared" si="0"/>
        <v/>
      </c>
      <c r="F18" s="129" t="str">
        <f t="shared" si="0"/>
        <v/>
      </c>
    </row>
    <row r="19" spans="1:6" s="11" customFormat="1" ht="15" customHeight="1" x14ac:dyDescent="0.35">
      <c r="A19" s="130" t="s">
        <v>73</v>
      </c>
      <c r="B19" s="131">
        <v>0</v>
      </c>
      <c r="C19" s="132">
        <v>354024.9</v>
      </c>
      <c r="D19" s="131">
        <v>356578.08</v>
      </c>
      <c r="E19" s="133" t="e">
        <f t="shared" si="0"/>
        <v>#DIV/0!</v>
      </c>
      <c r="F19" s="134">
        <f t="shared" si="0"/>
        <v>7.2118656060633501E-3</v>
      </c>
    </row>
    <row r="20" spans="1:6" ht="15" customHeight="1" x14ac:dyDescent="0.35">
      <c r="A20" s="65" t="s">
        <v>84</v>
      </c>
      <c r="B20" s="68">
        <f>SUM(B16:B19)</f>
        <v>4706740.01</v>
      </c>
      <c r="C20" s="71">
        <f t="shared" ref="C20:D20" si="3">SUM(C16:C19)</f>
        <v>4777201.32</v>
      </c>
      <c r="D20" s="68">
        <f t="shared" si="3"/>
        <v>6682374.3399999999</v>
      </c>
      <c r="E20" s="74">
        <f t="shared" si="0"/>
        <v>1.4970300006012183E-2</v>
      </c>
      <c r="F20" s="32">
        <f t="shared" si="0"/>
        <v>0.39880526115236004</v>
      </c>
    </row>
    <row r="21" spans="1:6" ht="15" customHeight="1" thickBot="1" x14ac:dyDescent="0.4">
      <c r="A21" s="75" t="s">
        <v>64</v>
      </c>
      <c r="B21" s="76"/>
      <c r="C21" s="77">
        <v>120.41</v>
      </c>
      <c r="D21" s="76">
        <v>3883.0699999999997</v>
      </c>
      <c r="E21" s="78" t="str">
        <f t="shared" si="0"/>
        <v/>
      </c>
      <c r="F21" s="79">
        <f t="shared" si="0"/>
        <v>31.248733493895855</v>
      </c>
    </row>
    <row r="22" spans="1:6" s="3" customFormat="1" ht="15" customHeight="1" thickBot="1" x14ac:dyDescent="0.4">
      <c r="A22" s="85" t="s">
        <v>27</v>
      </c>
      <c r="B22" s="86">
        <f>B11+B15+B20+B21</f>
        <v>70023317.079999998</v>
      </c>
      <c r="C22" s="87">
        <f>C11+C15+C20+C21</f>
        <v>78218168.370000005</v>
      </c>
      <c r="D22" s="86">
        <f>D11+D15+D20+D21</f>
        <v>82528757.799999982</v>
      </c>
      <c r="E22" s="88">
        <f t="shared" si="0"/>
        <v>0.1170303212091135</v>
      </c>
      <c r="F22" s="89">
        <f t="shared" si="0"/>
        <v>5.5109823201296981E-2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20930433.710000001</v>
      </c>
      <c r="C24" s="155">
        <v>22398481.25</v>
      </c>
      <c r="D24" s="155">
        <v>22818652.830000002</v>
      </c>
      <c r="E24" s="156">
        <f t="shared" si="0"/>
        <v>7.0139375052634678E-2</v>
      </c>
      <c r="F24" s="104">
        <f t="shared" si="0"/>
        <v>1.8758931702121728E-2</v>
      </c>
    </row>
    <row r="25" spans="1:6" ht="15" customHeight="1" x14ac:dyDescent="0.35">
      <c r="A25" s="157" t="s">
        <v>40</v>
      </c>
      <c r="B25" s="158">
        <v>9940558.3599999994</v>
      </c>
      <c r="C25" s="158">
        <v>10450394.350000001</v>
      </c>
      <c r="D25" s="158">
        <v>10715503.75</v>
      </c>
      <c r="E25" s="159">
        <f t="shared" si="0"/>
        <v>5.1288466053530879E-2</v>
      </c>
      <c r="F25" s="109">
        <f t="shared" si="0"/>
        <v>2.5368363252244119E-2</v>
      </c>
    </row>
    <row r="26" spans="1:6" ht="15" customHeight="1" x14ac:dyDescent="0.35">
      <c r="A26" s="160" t="s">
        <v>41</v>
      </c>
      <c r="B26" s="161">
        <v>600346.38</v>
      </c>
      <c r="C26" s="161">
        <v>403956.33999999997</v>
      </c>
      <c r="D26" s="161">
        <v>450018.74000000005</v>
      </c>
      <c r="E26" s="162">
        <f t="shared" si="0"/>
        <v>-0.32712788240681989</v>
      </c>
      <c r="F26" s="114">
        <f t="shared" si="0"/>
        <v>0.11402816452886988</v>
      </c>
    </row>
    <row r="27" spans="1:6" ht="15" customHeight="1" x14ac:dyDescent="0.35">
      <c r="A27" s="31" t="s">
        <v>65</v>
      </c>
      <c r="B27" s="23">
        <f>B24+B25+B26</f>
        <v>31471338.449999999</v>
      </c>
      <c r="C27" s="23">
        <f t="shared" ref="C27:D27" si="4">C24+C25+C26</f>
        <v>33252831.940000001</v>
      </c>
      <c r="D27" s="23">
        <f t="shared" si="4"/>
        <v>33984175.32</v>
      </c>
      <c r="E27" s="24">
        <f t="shared" si="0"/>
        <v>5.6606854927074179E-2</v>
      </c>
      <c r="F27" s="32">
        <f t="shared" si="0"/>
        <v>2.1993416419979095E-2</v>
      </c>
    </row>
    <row r="28" spans="1:6" ht="15" customHeight="1" x14ac:dyDescent="0.35">
      <c r="A28" s="33" t="s">
        <v>66</v>
      </c>
      <c r="B28" s="23">
        <v>5751752.790000001</v>
      </c>
      <c r="C28" s="23">
        <v>6613131.1200000001</v>
      </c>
      <c r="D28" s="23">
        <v>7392280.7000000002</v>
      </c>
      <c r="E28" s="24">
        <f t="shared" si="0"/>
        <v>0.14975927538081812</v>
      </c>
      <c r="F28" s="32">
        <f t="shared" si="0"/>
        <v>0.11781855914570172</v>
      </c>
    </row>
    <row r="29" spans="1:6" s="6" customFormat="1" ht="15" customHeight="1" x14ac:dyDescent="0.35">
      <c r="A29" s="182" t="s">
        <v>26</v>
      </c>
      <c r="B29" s="183">
        <v>5292510.6800000006</v>
      </c>
      <c r="C29" s="183">
        <v>6161793.9699999997</v>
      </c>
      <c r="D29" s="183">
        <v>6853957.1400000006</v>
      </c>
      <c r="E29" s="184">
        <f t="shared" si="0"/>
        <v>0.16424781026610957</v>
      </c>
      <c r="F29" s="185">
        <f t="shared" si="0"/>
        <v>0.11233143681368518</v>
      </c>
    </row>
    <row r="30" spans="1:6" s="163" customFormat="1" ht="15" customHeight="1" x14ac:dyDescent="0.35">
      <c r="A30" s="171" t="s">
        <v>76</v>
      </c>
      <c r="B30" s="172">
        <f>SUM(B31:B36)</f>
        <v>7747631.7700000005</v>
      </c>
      <c r="C30" s="172">
        <f t="shared" ref="C30:D30" si="5">SUM(C31:C36)</f>
        <v>9731409.4899999984</v>
      </c>
      <c r="D30" s="172">
        <f t="shared" si="5"/>
        <v>8081153.3999999994</v>
      </c>
      <c r="E30" s="169">
        <f t="shared" si="0"/>
        <v>0.25604956183920424</v>
      </c>
      <c r="F30" s="170">
        <f t="shared" si="0"/>
        <v>-0.16958037699428874</v>
      </c>
    </row>
    <row r="31" spans="1:6" s="9" customFormat="1" ht="15" customHeight="1" x14ac:dyDescent="0.35">
      <c r="A31" s="165" t="s">
        <v>21</v>
      </c>
      <c r="B31" s="166">
        <v>2671351.17</v>
      </c>
      <c r="C31" s="166">
        <v>4578102.41</v>
      </c>
      <c r="D31" s="166">
        <v>3194884.92</v>
      </c>
      <c r="E31" s="167">
        <f t="shared" si="0"/>
        <v>0.7137778295168884</v>
      </c>
      <c r="F31" s="168">
        <f t="shared" si="0"/>
        <v>-0.30213773439812597</v>
      </c>
    </row>
    <row r="32" spans="1:6" s="9" customFormat="1" ht="15" customHeight="1" x14ac:dyDescent="0.35">
      <c r="A32" s="165" t="s">
        <v>22</v>
      </c>
      <c r="B32" s="166">
        <v>40580.019999999997</v>
      </c>
      <c r="C32" s="166">
        <v>40244.67</v>
      </c>
      <c r="D32" s="166">
        <v>48119.53</v>
      </c>
      <c r="E32" s="167">
        <f t="shared" si="0"/>
        <v>-8.263919041932466E-3</v>
      </c>
      <c r="F32" s="168">
        <f t="shared" si="0"/>
        <v>0.19567460734551934</v>
      </c>
    </row>
    <row r="33" spans="1:6" s="9" customFormat="1" ht="15" customHeight="1" x14ac:dyDescent="0.35">
      <c r="A33" s="165" t="s">
        <v>23</v>
      </c>
      <c r="B33" s="166">
        <v>1099495.72</v>
      </c>
      <c r="C33" s="166">
        <v>2160458.0299999998</v>
      </c>
      <c r="D33" s="166">
        <v>1662619.14</v>
      </c>
      <c r="E33" s="167">
        <f t="shared" si="0"/>
        <v>0.96495356071054084</v>
      </c>
      <c r="F33" s="168">
        <f t="shared" si="0"/>
        <v>-0.23043210425152294</v>
      </c>
    </row>
    <row r="34" spans="1:6" s="9" customFormat="1" ht="15" customHeight="1" x14ac:dyDescent="0.35">
      <c r="A34" s="165" t="s">
        <v>24</v>
      </c>
      <c r="B34" s="166">
        <v>2212175.9500000002</v>
      </c>
      <c r="C34" s="166">
        <v>1575322.42</v>
      </c>
      <c r="D34" s="166">
        <v>1601219.26</v>
      </c>
      <c r="E34" s="167">
        <f t="shared" si="0"/>
        <v>-0.28788556805348153</v>
      </c>
      <c r="F34" s="168">
        <f t="shared" si="0"/>
        <v>1.6439072834372626E-2</v>
      </c>
    </row>
    <row r="35" spans="1:6" s="9" customFormat="1" ht="15" customHeight="1" x14ac:dyDescent="0.35">
      <c r="A35" s="165" t="s">
        <v>25</v>
      </c>
      <c r="B35" s="166">
        <v>1724028.91</v>
      </c>
      <c r="C35" s="166">
        <v>1377281.96</v>
      </c>
      <c r="D35" s="166">
        <v>1574310.55</v>
      </c>
      <c r="E35" s="167">
        <f t="shared" si="0"/>
        <v>-0.20112594863620936</v>
      </c>
      <c r="F35" s="168">
        <f t="shared" si="0"/>
        <v>0.14305610305096872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9673876.5499999989</v>
      </c>
      <c r="C37" s="172">
        <v>10151072.15</v>
      </c>
      <c r="D37" s="172">
        <v>9918531.25</v>
      </c>
      <c r="E37" s="169">
        <f t="shared" si="0"/>
        <v>4.9328270578354871E-2</v>
      </c>
      <c r="F37" s="170">
        <f t="shared" si="0"/>
        <v>-2.2908013711635422E-2</v>
      </c>
    </row>
    <row r="38" spans="1:6" s="7" customFormat="1" ht="15" customHeight="1" x14ac:dyDescent="0.35">
      <c r="A38" s="173" t="s">
        <v>70</v>
      </c>
      <c r="B38" s="174">
        <v>9442899.0099999998</v>
      </c>
      <c r="C38" s="174">
        <v>9953083.6400000006</v>
      </c>
      <c r="D38" s="174">
        <v>9717195.5199999996</v>
      </c>
      <c r="E38" s="169">
        <f t="shared" si="0"/>
        <v>5.4028389953097777E-2</v>
      </c>
      <c r="F38" s="170">
        <f t="shared" si="0"/>
        <v>-2.3700003790986024E-2</v>
      </c>
    </row>
    <row r="39" spans="1:6" s="10" customFormat="1" ht="15" customHeight="1" x14ac:dyDescent="0.35">
      <c r="A39" s="171" t="s">
        <v>78</v>
      </c>
      <c r="B39" s="172">
        <v>3076116.4</v>
      </c>
      <c r="C39" s="172">
        <v>3622479.99</v>
      </c>
      <c r="D39" s="172">
        <v>3694987.59</v>
      </c>
      <c r="E39" s="169">
        <f t="shared" si="0"/>
        <v>0.17761473200428957</v>
      </c>
      <c r="F39" s="170">
        <f t="shared" si="0"/>
        <v>2.0016011185751026E-2</v>
      </c>
    </row>
    <row r="40" spans="1:6" s="10" customFormat="1" ht="15" customHeight="1" x14ac:dyDescent="0.35">
      <c r="A40" s="175" t="s">
        <v>79</v>
      </c>
      <c r="B40" s="176">
        <v>3865773.5699999966</v>
      </c>
      <c r="C40" s="176">
        <v>3925886.8500000006</v>
      </c>
      <c r="D40" s="176">
        <v>4573646.1199999973</v>
      </c>
      <c r="E40" s="177">
        <f t="shared" si="0"/>
        <v>1.5550129595408357E-2</v>
      </c>
      <c r="F40" s="178">
        <f t="shared" si="0"/>
        <v>0.16499692801895116</v>
      </c>
    </row>
    <row r="41" spans="1:6" ht="15" customHeight="1" x14ac:dyDescent="0.35">
      <c r="A41" s="31" t="s">
        <v>75</v>
      </c>
      <c r="B41" s="23">
        <f>+B30+B37+B39+B40</f>
        <v>24363398.289999995</v>
      </c>
      <c r="C41" s="23">
        <f>+C30+C37+C39+C40</f>
        <v>27430848.480000004</v>
      </c>
      <c r="D41" s="23">
        <f>+D30+D37+D39+D40</f>
        <v>26268318.359999996</v>
      </c>
      <c r="E41" s="24">
        <f t="shared" si="0"/>
        <v>0.12590403659981408</v>
      </c>
      <c r="F41" s="32">
        <f t="shared" si="0"/>
        <v>-4.2380392310781612E-2</v>
      </c>
    </row>
    <row r="42" spans="1:6" ht="15" customHeight="1" x14ac:dyDescent="0.35">
      <c r="A42" s="33" t="s">
        <v>67</v>
      </c>
      <c r="B42" s="23">
        <v>1858474.8699999996</v>
      </c>
      <c r="C42" s="23">
        <v>1660904.84</v>
      </c>
      <c r="D42" s="23">
        <v>2179428.6099999994</v>
      </c>
      <c r="E42" s="24">
        <f t="shared" si="0"/>
        <v>-0.10630761447960801</v>
      </c>
      <c r="F42" s="32">
        <f t="shared" si="0"/>
        <v>0.31219354505583796</v>
      </c>
    </row>
    <row r="43" spans="1:6" ht="15" customHeight="1" x14ac:dyDescent="0.35">
      <c r="A43" s="33" t="s">
        <v>68</v>
      </c>
      <c r="B43" s="23">
        <v>1509280.9</v>
      </c>
      <c r="C43" s="23">
        <v>1948291.14</v>
      </c>
      <c r="D43" s="23">
        <v>2262945.66</v>
      </c>
      <c r="E43" s="24">
        <f t="shared" si="0"/>
        <v>0.29087377969203754</v>
      </c>
      <c r="F43" s="32">
        <f t="shared" si="0"/>
        <v>0.16150282344352296</v>
      </c>
    </row>
    <row r="44" spans="1:6" ht="15" customHeight="1" x14ac:dyDescent="0.35">
      <c r="A44" s="33" t="s">
        <v>69</v>
      </c>
      <c r="B44" s="23">
        <v>94153.13</v>
      </c>
      <c r="C44" s="23">
        <v>344595.16</v>
      </c>
      <c r="D44" s="23">
        <v>439196.7</v>
      </c>
      <c r="E44" s="24">
        <f t="shared" si="0"/>
        <v>2.6599437533303454</v>
      </c>
      <c r="F44" s="32">
        <f t="shared" si="0"/>
        <v>0.2745295087719748</v>
      </c>
    </row>
    <row r="45" spans="1:6" ht="15" customHeight="1" x14ac:dyDescent="0.35">
      <c r="A45" s="186" t="s">
        <v>80</v>
      </c>
      <c r="B45" s="187">
        <v>5501014.4400000004</v>
      </c>
      <c r="C45" s="187">
        <v>6024042.5</v>
      </c>
      <c r="D45" s="187">
        <v>7337582.6799999997</v>
      </c>
      <c r="E45" s="188">
        <f t="shared" si="0"/>
        <v>9.5078474289552961E-2</v>
      </c>
      <c r="F45" s="189">
        <f t="shared" si="0"/>
        <v>0.21804962033385378</v>
      </c>
    </row>
    <row r="46" spans="1:6" ht="15" customHeight="1" x14ac:dyDescent="0.35">
      <c r="A46" s="171" t="s">
        <v>81</v>
      </c>
      <c r="B46" s="190">
        <v>625815</v>
      </c>
      <c r="C46" s="190">
        <v>683237</v>
      </c>
      <c r="D46" s="190">
        <v>863221</v>
      </c>
      <c r="E46" s="191">
        <f t="shared" si="0"/>
        <v>9.1755550761806637E-2</v>
      </c>
      <c r="F46" s="192">
        <f t="shared" si="0"/>
        <v>0.26342835648537766</v>
      </c>
    </row>
    <row r="47" spans="1:6" ht="15" customHeight="1" x14ac:dyDescent="0.35">
      <c r="A47" s="175" t="s">
        <v>82</v>
      </c>
      <c r="B47" s="193">
        <v>406343</v>
      </c>
      <c r="C47" s="193">
        <v>173503</v>
      </c>
      <c r="D47" s="193">
        <v>121831</v>
      </c>
      <c r="E47" s="194">
        <f t="shared" si="0"/>
        <v>-0.57301343938495308</v>
      </c>
      <c r="F47" s="195">
        <f t="shared" si="0"/>
        <v>-0.29781617608917421</v>
      </c>
    </row>
    <row r="48" spans="1:6" ht="15" customHeight="1" thickBot="1" x14ac:dyDescent="0.4">
      <c r="A48" s="90" t="s">
        <v>83</v>
      </c>
      <c r="B48" s="91">
        <v>6533172.4400000004</v>
      </c>
      <c r="C48" s="91">
        <v>6880782.5</v>
      </c>
      <c r="D48" s="91">
        <v>8322634.6799999997</v>
      </c>
      <c r="E48" s="92">
        <f t="shared" si="0"/>
        <v>5.3206931730704454E-2</v>
      </c>
      <c r="F48" s="79">
        <f t="shared" si="0"/>
        <v>0.20954770478502982</v>
      </c>
    </row>
    <row r="49" spans="1:7" s="3" customFormat="1" ht="15" customHeight="1" thickBot="1" x14ac:dyDescent="0.4">
      <c r="A49" s="96" t="s">
        <v>28</v>
      </c>
      <c r="B49" s="97">
        <f>B27+B28+B41+B42+B43+B44+B48</f>
        <v>71581570.870000005</v>
      </c>
      <c r="C49" s="97">
        <f>C27+C28+C41+C42+C43+C44+C48</f>
        <v>78131385.180000007</v>
      </c>
      <c r="D49" s="97">
        <f>D27+D28+D41+D42+D43+D44+D48</f>
        <v>80848980.030000001</v>
      </c>
      <c r="E49" s="98">
        <f t="shared" si="0"/>
        <v>9.1501405045932627E-2</v>
      </c>
      <c r="F49" s="99">
        <f t="shared" si="0"/>
        <v>3.4782371306219195E-2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34799073.789999999</v>
      </c>
      <c r="C51" s="58">
        <f>+C11</f>
        <v>37106487.020000003</v>
      </c>
      <c r="D51" s="44">
        <f>+D11</f>
        <v>39159887.259999998</v>
      </c>
      <c r="E51" s="59">
        <f t="shared" si="0"/>
        <v>6.6306742642761707E-2</v>
      </c>
      <c r="F51" s="28">
        <f t="shared" si="0"/>
        <v>5.5338039380910198E-2</v>
      </c>
    </row>
    <row r="52" spans="1:7" ht="15" customHeight="1" x14ac:dyDescent="0.35">
      <c r="A52" s="40" t="s">
        <v>9</v>
      </c>
      <c r="B52" s="45">
        <f>+B28</f>
        <v>5751752.790000001</v>
      </c>
      <c r="C52" s="49">
        <f>+C28</f>
        <v>6613131.1200000001</v>
      </c>
      <c r="D52" s="45">
        <f>+D28</f>
        <v>7392280.7000000002</v>
      </c>
      <c r="E52" s="53">
        <f t="shared" si="0"/>
        <v>0.14975927538081812</v>
      </c>
      <c r="F52" s="30">
        <f t="shared" si="0"/>
        <v>0.11781855914570172</v>
      </c>
    </row>
    <row r="53" spans="1:7" ht="15" customHeight="1" x14ac:dyDescent="0.35">
      <c r="A53" s="40" t="s">
        <v>10</v>
      </c>
      <c r="B53" s="45">
        <f>+B41</f>
        <v>24363398.289999995</v>
      </c>
      <c r="C53" s="49">
        <f>+C41</f>
        <v>27430848.480000004</v>
      </c>
      <c r="D53" s="45">
        <f>+D41</f>
        <v>26268318.359999996</v>
      </c>
      <c r="E53" s="53">
        <f t="shared" si="0"/>
        <v>0.12590403659981408</v>
      </c>
      <c r="F53" s="30">
        <f t="shared" si="0"/>
        <v>-4.2380392310781612E-2</v>
      </c>
    </row>
    <row r="54" spans="1:7" s="3" customFormat="1" ht="15" customHeight="1" x14ac:dyDescent="0.35">
      <c r="A54" s="41" t="s">
        <v>11</v>
      </c>
      <c r="B54" s="46">
        <f>B51-B52-B53</f>
        <v>4683922.7100000046</v>
      </c>
      <c r="C54" s="50">
        <f t="shared" ref="C54:D54" si="6">C51-C52-C53</f>
        <v>3062507.4199999981</v>
      </c>
      <c r="D54" s="46">
        <f t="shared" si="6"/>
        <v>5499288.200000003</v>
      </c>
      <c r="E54" s="54">
        <f t="shared" si="0"/>
        <v>-0.34616610699795358</v>
      </c>
      <c r="F54" s="34">
        <f t="shared" si="0"/>
        <v>0.79568159217717316</v>
      </c>
      <c r="G54" s="4"/>
    </row>
    <row r="55" spans="1:7" ht="15" customHeight="1" x14ac:dyDescent="0.35">
      <c r="A55" s="40" t="s">
        <v>12</v>
      </c>
      <c r="B55" s="45">
        <f>B15</f>
        <v>30517503.280000001</v>
      </c>
      <c r="C55" s="49">
        <f>C15</f>
        <v>36334359.619999997</v>
      </c>
      <c r="D55" s="45">
        <f>D15</f>
        <v>36682613.129999995</v>
      </c>
      <c r="E55" s="53">
        <f t="shared" si="0"/>
        <v>0.19060721601731223</v>
      </c>
      <c r="F55" s="30">
        <f t="shared" si="0"/>
        <v>9.5846882576762216E-3</v>
      </c>
    </row>
    <row r="56" spans="1:7" ht="15" customHeight="1" x14ac:dyDescent="0.35">
      <c r="A56" s="40" t="s">
        <v>13</v>
      </c>
      <c r="B56" s="45">
        <f>B27</f>
        <v>31471338.449999999</v>
      </c>
      <c r="C56" s="49">
        <f>C27</f>
        <v>33252831.940000001</v>
      </c>
      <c r="D56" s="45">
        <f>D27</f>
        <v>33984175.32</v>
      </c>
      <c r="E56" s="53">
        <f t="shared" si="0"/>
        <v>5.6606854927074179E-2</v>
      </c>
      <c r="F56" s="30">
        <f t="shared" si="0"/>
        <v>2.1993416419979095E-2</v>
      </c>
    </row>
    <row r="57" spans="1:7" ht="15" customHeight="1" x14ac:dyDescent="0.35">
      <c r="A57" s="40" t="s">
        <v>14</v>
      </c>
      <c r="B57" s="45">
        <f>B42+B43</f>
        <v>3367755.7699999996</v>
      </c>
      <c r="C57" s="49">
        <f t="shared" ref="C57:D57" si="7">C42+C43</f>
        <v>3609195.98</v>
      </c>
      <c r="D57" s="45">
        <f t="shared" si="7"/>
        <v>4442374.2699999996</v>
      </c>
      <c r="E57" s="53">
        <f t="shared" si="0"/>
        <v>7.1691721873287984E-2</v>
      </c>
      <c r="F57" s="30">
        <f t="shared" si="0"/>
        <v>0.23084872492848096</v>
      </c>
    </row>
    <row r="58" spans="1:7" s="3" customFormat="1" ht="15" customHeight="1" x14ac:dyDescent="0.35">
      <c r="A58" s="42" t="s">
        <v>15</v>
      </c>
      <c r="B58" s="47">
        <f>+B54+B55-B56-B57</f>
        <v>362331.77000001073</v>
      </c>
      <c r="C58" s="51">
        <f>+C54+C55-C56-C57</f>
        <v>2534839.1199999903</v>
      </c>
      <c r="D58" s="47">
        <f t="shared" ref="D58" si="8">+D54+D55-D56-D57</f>
        <v>3755351.7399999984</v>
      </c>
      <c r="E58" s="55">
        <f t="shared" si="0"/>
        <v>5.9959063208835239</v>
      </c>
      <c r="F58" s="35">
        <f t="shared" si="0"/>
        <v>0.48149510174831645</v>
      </c>
      <c r="G58" s="4"/>
    </row>
    <row r="59" spans="1:7" ht="15" customHeight="1" x14ac:dyDescent="0.35">
      <c r="A59" s="40" t="s">
        <v>16</v>
      </c>
      <c r="B59" s="45">
        <f t="shared" ref="B59:D60" si="9">B20</f>
        <v>4706740.01</v>
      </c>
      <c r="C59" s="49">
        <f t="shared" si="9"/>
        <v>4777201.32</v>
      </c>
      <c r="D59" s="45">
        <f t="shared" si="9"/>
        <v>6682374.3399999999</v>
      </c>
      <c r="E59" s="53">
        <f t="shared" si="0"/>
        <v>1.4970300006012183E-2</v>
      </c>
      <c r="F59" s="30">
        <f t="shared" si="0"/>
        <v>0.39880526115236004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120.41</v>
      </c>
      <c r="D60" s="45">
        <f t="shared" si="9"/>
        <v>3883.0699999999997</v>
      </c>
      <c r="E60" s="53" t="e">
        <f t="shared" si="0"/>
        <v>#DIV/0!</v>
      </c>
      <c r="F60" s="30">
        <f t="shared" si="0"/>
        <v>31.248733493895855</v>
      </c>
    </row>
    <row r="61" spans="1:7" ht="15" customHeight="1" x14ac:dyDescent="0.35">
      <c r="A61" s="40" t="s">
        <v>18</v>
      </c>
      <c r="B61" s="45">
        <f>B48</f>
        <v>6533172.4400000004</v>
      </c>
      <c r="C61" s="49">
        <f t="shared" ref="C61:D61" si="10">C48</f>
        <v>6880782.5</v>
      </c>
      <c r="D61" s="45">
        <f t="shared" si="10"/>
        <v>8322634.6799999997</v>
      </c>
      <c r="E61" s="53">
        <f t="shared" si="0"/>
        <v>5.3206931730704454E-2</v>
      </c>
      <c r="F61" s="30">
        <f t="shared" si="0"/>
        <v>0.20954770478502982</v>
      </c>
    </row>
    <row r="62" spans="1:7" ht="15" customHeight="1" x14ac:dyDescent="0.35">
      <c r="A62" s="40" t="s">
        <v>19</v>
      </c>
      <c r="B62" s="45">
        <f>B44</f>
        <v>94153.13</v>
      </c>
      <c r="C62" s="49">
        <f t="shared" ref="C62:D62" si="11">C44</f>
        <v>344595.16</v>
      </c>
      <c r="D62" s="45">
        <f t="shared" si="11"/>
        <v>439196.7</v>
      </c>
      <c r="E62" s="53">
        <f t="shared" si="0"/>
        <v>2.6599437533303454</v>
      </c>
      <c r="F62" s="30">
        <f t="shared" si="0"/>
        <v>0.2745295087719748</v>
      </c>
    </row>
    <row r="63" spans="1:7" s="3" customFormat="1" ht="15" customHeight="1" thickBot="1" x14ac:dyDescent="0.4">
      <c r="A63" s="43" t="s">
        <v>20</v>
      </c>
      <c r="B63" s="48">
        <f>B58+B59+B60-B61-B62</f>
        <v>-1558253.7899999898</v>
      </c>
      <c r="C63" s="52">
        <f t="shared" ref="C63:D63" si="12">C58+C59+C60-C61-C62</f>
        <v>86783.18999999034</v>
      </c>
      <c r="D63" s="48">
        <f t="shared" si="12"/>
        <v>1679777.7699999989</v>
      </c>
      <c r="E63" s="56">
        <f t="shared" si="0"/>
        <v>-1.0556925903578203</v>
      </c>
      <c r="F63" s="36">
        <f t="shared" si="0"/>
        <v>18.356027013989529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5501014.4400000004</v>
      </c>
      <c r="C65" s="26">
        <f t="shared" ref="C65:D65" si="13">C45</f>
        <v>6024042.5</v>
      </c>
      <c r="D65" s="26">
        <f t="shared" si="13"/>
        <v>7337582.6799999997</v>
      </c>
      <c r="E65" s="27">
        <f t="shared" ref="E65:E66" si="14">+IF(ISBLANK(B65),"",+C65/B65-1)</f>
        <v>9.5078474289552961E-2</v>
      </c>
      <c r="F65" s="28">
        <f t="shared" ref="F65:F66" si="15">+IF(ISBLANK(C65),"",+D65/C65-1)</f>
        <v>0.21804962033385378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4686740.01</v>
      </c>
      <c r="C66" s="19">
        <f t="shared" si="16"/>
        <v>4202912.42</v>
      </c>
      <c r="D66" s="19">
        <f t="shared" si="16"/>
        <v>6277499.2599999998</v>
      </c>
      <c r="E66" s="20">
        <f t="shared" si="14"/>
        <v>-0.10323328987049996</v>
      </c>
      <c r="F66" s="30">
        <f t="shared" si="15"/>
        <v>0.49360696409657745</v>
      </c>
    </row>
    <row r="67" spans="1:6" ht="15" customHeight="1" thickBot="1" x14ac:dyDescent="0.4">
      <c r="A67" s="207" t="s">
        <v>85</v>
      </c>
      <c r="B67" s="208">
        <f>B65-B66</f>
        <v>814274.43000000063</v>
      </c>
      <c r="C67" s="208">
        <f t="shared" ref="C67:D67" si="17">C65-C66</f>
        <v>1821130.08</v>
      </c>
      <c r="D67" s="208">
        <f t="shared" si="17"/>
        <v>1060083.42</v>
      </c>
      <c r="E67" s="209">
        <f>+IF(ISBLANK(B67),"",+C67/B67-1)</f>
        <v>1.236506530114176</v>
      </c>
      <c r="F67" s="210">
        <f>+IF(ISBLANK(C67),"",+D67/C67-1)</f>
        <v>-0.41789802296824408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7D9D6-E3C0-4D7D-A5A6-4DC282D9DA9A}">
  <sheetPr>
    <tabColor theme="5" tint="0.79998168889431442"/>
    <pageSetUpPr fitToPage="1"/>
  </sheetPr>
  <dimension ref="A1:G72"/>
  <sheetViews>
    <sheetView topLeftCell="A33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42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5740576.8200000003</v>
      </c>
      <c r="C6" s="102">
        <v>6090543.1500000004</v>
      </c>
      <c r="D6" s="101">
        <v>6463394.5800000001</v>
      </c>
      <c r="E6" s="103">
        <f>+IF(ISBLANK(B6),"",+C6/B6-1)</f>
        <v>6.096361758991331E-2</v>
      </c>
      <c r="F6" s="104">
        <f>+IF(ISBLANK(C6),"",+D6/C6-1)</f>
        <v>6.121809185441851E-2</v>
      </c>
    </row>
    <row r="7" spans="1:6" ht="15" customHeight="1" x14ac:dyDescent="0.35">
      <c r="A7" s="105" t="s">
        <v>2</v>
      </c>
      <c r="B7" s="106">
        <v>1515898.79</v>
      </c>
      <c r="C7" s="107">
        <v>1633358.08</v>
      </c>
      <c r="D7" s="106">
        <v>1760750.46</v>
      </c>
      <c r="E7" s="108">
        <f t="shared" ref="E7:F63" si="0">+IF(ISBLANK(B7),"",+C7/B7-1)</f>
        <v>7.7484915731082626E-2</v>
      </c>
      <c r="F7" s="109">
        <f t="shared" si="0"/>
        <v>7.7994153002873601E-2</v>
      </c>
    </row>
    <row r="8" spans="1:6" ht="15" customHeight="1" x14ac:dyDescent="0.35">
      <c r="A8" s="105" t="s">
        <v>4</v>
      </c>
      <c r="B8" s="106">
        <v>129207.18</v>
      </c>
      <c r="C8" s="107">
        <v>155068.56</v>
      </c>
      <c r="D8" s="106">
        <v>75365.86</v>
      </c>
      <c r="E8" s="108">
        <f t="shared" si="0"/>
        <v>0.20015435674704762</v>
      </c>
      <c r="F8" s="109">
        <f t="shared" si="0"/>
        <v>-0.51398362118020569</v>
      </c>
    </row>
    <row r="9" spans="1:6" ht="15" customHeight="1" x14ac:dyDescent="0.35">
      <c r="A9" s="105" t="s">
        <v>3</v>
      </c>
      <c r="B9" s="106">
        <v>14006.88</v>
      </c>
      <c r="C9" s="107">
        <v>11619.27</v>
      </c>
      <c r="D9" s="106">
        <v>18431.07</v>
      </c>
      <c r="E9" s="108">
        <f t="shared" si="0"/>
        <v>-0.17045980261128812</v>
      </c>
      <c r="F9" s="109">
        <f t="shared" si="0"/>
        <v>0.58625025496438243</v>
      </c>
    </row>
    <row r="10" spans="1:6" ht="15" customHeight="1" x14ac:dyDescent="0.35">
      <c r="A10" s="110" t="s">
        <v>5</v>
      </c>
      <c r="B10" s="111">
        <v>99759.13</v>
      </c>
      <c r="C10" s="112">
        <v>132311.67000000001</v>
      </c>
      <c r="D10" s="111">
        <v>157078.57999999999</v>
      </c>
      <c r="E10" s="113">
        <f t="shared" si="0"/>
        <v>0.32631138623602673</v>
      </c>
      <c r="F10" s="114">
        <f t="shared" si="0"/>
        <v>0.18718613407267837</v>
      </c>
    </row>
    <row r="11" spans="1:6" s="3" customFormat="1" ht="15" customHeight="1" x14ac:dyDescent="0.35">
      <c r="A11" s="64" t="s">
        <v>62</v>
      </c>
      <c r="B11" s="67">
        <f>SUM(B6:B10)</f>
        <v>7499448.7999999998</v>
      </c>
      <c r="C11" s="70">
        <f>+SUM(C6:C10)</f>
        <v>8022900.7299999995</v>
      </c>
      <c r="D11" s="67">
        <f t="shared" ref="D11" si="1">SUM(D6:D10)</f>
        <v>8475020.5500000007</v>
      </c>
      <c r="E11" s="73">
        <f t="shared" si="0"/>
        <v>6.9798720407291848E-2</v>
      </c>
      <c r="F11" s="38">
        <f t="shared" si="0"/>
        <v>5.6353660005961537E-2</v>
      </c>
    </row>
    <row r="12" spans="1:6" ht="15" customHeight="1" x14ac:dyDescent="0.35">
      <c r="A12" s="115" t="s">
        <v>29</v>
      </c>
      <c r="B12" s="116">
        <v>5262034</v>
      </c>
      <c r="C12" s="117">
        <v>6864664</v>
      </c>
      <c r="D12" s="116">
        <v>5640372</v>
      </c>
      <c r="E12" s="118">
        <f t="shared" si="0"/>
        <v>0.3045647367538864</v>
      </c>
      <c r="F12" s="119">
        <f t="shared" si="0"/>
        <v>-0.17834696643564785</v>
      </c>
    </row>
    <row r="13" spans="1:6" ht="15" customHeight="1" x14ac:dyDescent="0.35">
      <c r="A13" s="105" t="s">
        <v>60</v>
      </c>
      <c r="B13" s="106">
        <v>182621.34</v>
      </c>
      <c r="C13" s="107">
        <v>191799.15</v>
      </c>
      <c r="D13" s="106">
        <v>195040.18</v>
      </c>
      <c r="E13" s="108">
        <f t="shared" si="0"/>
        <v>5.0255955848314215E-2</v>
      </c>
      <c r="F13" s="109">
        <f t="shared" si="0"/>
        <v>1.6898041518953466E-2</v>
      </c>
    </row>
    <row r="14" spans="1:6" ht="15" customHeight="1" x14ac:dyDescent="0.35">
      <c r="A14" s="110" t="s">
        <v>61</v>
      </c>
      <c r="B14" s="111">
        <v>51466.669999999816</v>
      </c>
      <c r="C14" s="112">
        <v>57984.22</v>
      </c>
      <c r="D14" s="111">
        <v>55060.69</v>
      </c>
      <c r="E14" s="113">
        <f t="shared" si="0"/>
        <v>0.12663632599506069</v>
      </c>
      <c r="F14" s="114">
        <f t="shared" si="0"/>
        <v>-5.0419407211134359E-2</v>
      </c>
    </row>
    <row r="15" spans="1:6" s="3" customFormat="1" ht="15" customHeight="1" x14ac:dyDescent="0.35">
      <c r="A15" s="64" t="s">
        <v>63</v>
      </c>
      <c r="B15" s="67">
        <f>SUM(B12:B14)</f>
        <v>5496122.0099999998</v>
      </c>
      <c r="C15" s="70">
        <f t="shared" ref="C15:D15" si="2">SUM(C12:C14)</f>
        <v>7114447.3700000001</v>
      </c>
      <c r="D15" s="67">
        <f t="shared" si="2"/>
        <v>5890472.8700000001</v>
      </c>
      <c r="E15" s="73">
        <f t="shared" si="0"/>
        <v>0.29444858703200438</v>
      </c>
      <c r="F15" s="38">
        <f t="shared" si="0"/>
        <v>-0.17204069920612819</v>
      </c>
    </row>
    <row r="16" spans="1:6" s="11" customFormat="1" ht="15" customHeight="1" x14ac:dyDescent="0.35">
      <c r="A16" s="120" t="s">
        <v>74</v>
      </c>
      <c r="B16" s="121">
        <v>3871463.9</v>
      </c>
      <c r="C16" s="122">
        <v>2112091.7799999998</v>
      </c>
      <c r="D16" s="121">
        <v>2577535.42</v>
      </c>
      <c r="E16" s="123">
        <f t="shared" si="0"/>
        <v>-0.45444621606829405</v>
      </c>
      <c r="F16" s="124">
        <f t="shared" si="0"/>
        <v>0.22037093482746295</v>
      </c>
    </row>
    <row r="17" spans="1:6" s="11" customFormat="1" ht="15" customHeight="1" x14ac:dyDescent="0.35">
      <c r="A17" s="125" t="s">
        <v>71</v>
      </c>
      <c r="B17" s="126">
        <v>162.69</v>
      </c>
      <c r="C17" s="127">
        <v>181012.21</v>
      </c>
      <c r="D17" s="126">
        <v>30731.16</v>
      </c>
      <c r="E17" s="128">
        <f t="shared" si="0"/>
        <v>1111.6203823222079</v>
      </c>
      <c r="F17" s="129">
        <f t="shared" si="0"/>
        <v>-0.83022603834293829</v>
      </c>
    </row>
    <row r="18" spans="1:6" s="11" customFormat="1" ht="15" customHeight="1" x14ac:dyDescent="0.35">
      <c r="A18" s="125" t="s">
        <v>72</v>
      </c>
      <c r="B18" s="126">
        <v>27320.21</v>
      </c>
      <c r="C18" s="127">
        <v>0</v>
      </c>
      <c r="D18" s="126">
        <v>0</v>
      </c>
      <c r="E18" s="128">
        <f t="shared" si="0"/>
        <v>-1</v>
      </c>
      <c r="F18" s="129" t="e">
        <f t="shared" si="0"/>
        <v>#DIV/0!</v>
      </c>
    </row>
    <row r="19" spans="1:6" s="11" customFormat="1" ht="15" customHeight="1" x14ac:dyDescent="0.35">
      <c r="A19" s="130" t="s">
        <v>73</v>
      </c>
      <c r="B19" s="131">
        <v>64333.79</v>
      </c>
      <c r="C19" s="132">
        <v>64247.3</v>
      </c>
      <c r="D19" s="131">
        <v>79272.649999999994</v>
      </c>
      <c r="E19" s="133">
        <f t="shared" si="0"/>
        <v>-1.3443946019657815E-3</v>
      </c>
      <c r="F19" s="134">
        <f t="shared" si="0"/>
        <v>0.23386741544002621</v>
      </c>
    </row>
    <row r="20" spans="1:6" ht="15" customHeight="1" x14ac:dyDescent="0.35">
      <c r="A20" s="65" t="s">
        <v>84</v>
      </c>
      <c r="B20" s="68">
        <f>SUM(B16:B19)</f>
        <v>3963280.59</v>
      </c>
      <c r="C20" s="71">
        <f t="shared" ref="C20:D20" si="3">SUM(C16:C19)</f>
        <v>2357351.2899999996</v>
      </c>
      <c r="D20" s="68">
        <f t="shared" si="3"/>
        <v>2687539.23</v>
      </c>
      <c r="E20" s="74">
        <f t="shared" si="0"/>
        <v>-0.40520201977422965</v>
      </c>
      <c r="F20" s="32">
        <f t="shared" si="0"/>
        <v>0.14006734651754016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16958851.399999999</v>
      </c>
      <c r="C22" s="87">
        <f>C11+C15+C20+C21</f>
        <v>17494699.390000001</v>
      </c>
      <c r="D22" s="86">
        <f>D11+D15+D20+D21</f>
        <v>17053032.650000002</v>
      </c>
      <c r="E22" s="88">
        <f t="shared" si="0"/>
        <v>3.1596950604803498E-2</v>
      </c>
      <c r="F22" s="89">
        <f t="shared" si="0"/>
        <v>-2.5245746163118143E-2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4665202.05</v>
      </c>
      <c r="C24" s="155">
        <v>4917575.1500000004</v>
      </c>
      <c r="D24" s="155">
        <v>5094188.0199999996</v>
      </c>
      <c r="E24" s="156">
        <f t="shared" si="0"/>
        <v>5.4096928127689736E-2</v>
      </c>
      <c r="F24" s="104">
        <f t="shared" si="0"/>
        <v>3.5914625524329669E-2</v>
      </c>
    </row>
    <row r="25" spans="1:6" ht="15" customHeight="1" x14ac:dyDescent="0.35">
      <c r="A25" s="157" t="s">
        <v>40</v>
      </c>
      <c r="B25" s="158">
        <v>2136765.3899999997</v>
      </c>
      <c r="C25" s="158">
        <v>2186981.48</v>
      </c>
      <c r="D25" s="158">
        <v>2203475.13</v>
      </c>
      <c r="E25" s="159">
        <f t="shared" si="0"/>
        <v>2.3500984354674737E-2</v>
      </c>
      <c r="F25" s="109">
        <f t="shared" si="0"/>
        <v>7.5417419629908444E-3</v>
      </c>
    </row>
    <row r="26" spans="1:6" ht="15" customHeight="1" x14ac:dyDescent="0.35">
      <c r="A26" s="160" t="s">
        <v>41</v>
      </c>
      <c r="B26" s="161">
        <v>58463.93</v>
      </c>
      <c r="C26" s="161">
        <v>83842.849999999991</v>
      </c>
      <c r="D26" s="161">
        <v>55602.820000000007</v>
      </c>
      <c r="E26" s="162">
        <f t="shared" si="0"/>
        <v>0.43409534733638311</v>
      </c>
      <c r="F26" s="114">
        <f t="shared" si="0"/>
        <v>-0.33682096922993421</v>
      </c>
    </row>
    <row r="27" spans="1:6" ht="15" customHeight="1" x14ac:dyDescent="0.35">
      <c r="A27" s="31" t="s">
        <v>65</v>
      </c>
      <c r="B27" s="23">
        <f>B24+B25+B26</f>
        <v>6860431.3699999992</v>
      </c>
      <c r="C27" s="23">
        <f t="shared" ref="C27:D27" si="4">C24+C25+C26</f>
        <v>7188399.4800000004</v>
      </c>
      <c r="D27" s="23">
        <f t="shared" si="4"/>
        <v>7353265.9699999997</v>
      </c>
      <c r="E27" s="24">
        <f t="shared" si="0"/>
        <v>4.7805756272728539E-2</v>
      </c>
      <c r="F27" s="32">
        <f t="shared" si="0"/>
        <v>2.2935076223671302E-2</v>
      </c>
    </row>
    <row r="28" spans="1:6" ht="15" customHeight="1" x14ac:dyDescent="0.35">
      <c r="A28" s="33" t="s">
        <v>66</v>
      </c>
      <c r="B28" s="23">
        <v>1531419.24</v>
      </c>
      <c r="C28" s="23">
        <v>2031740.4700000002</v>
      </c>
      <c r="D28" s="23">
        <v>2049677.2600000002</v>
      </c>
      <c r="E28" s="24">
        <f t="shared" si="0"/>
        <v>0.32670428641082006</v>
      </c>
      <c r="F28" s="32">
        <f t="shared" si="0"/>
        <v>8.8282879948737847E-3</v>
      </c>
    </row>
    <row r="29" spans="1:6" s="6" customFormat="1" ht="15" customHeight="1" x14ac:dyDescent="0.35">
      <c r="A29" s="182" t="s">
        <v>26</v>
      </c>
      <c r="B29" s="183">
        <v>1323953.33</v>
      </c>
      <c r="C29" s="183">
        <v>1767875.22</v>
      </c>
      <c r="D29" s="183">
        <v>1815711.2200000002</v>
      </c>
      <c r="E29" s="184">
        <f t="shared" si="0"/>
        <v>0.33530025563665444</v>
      </c>
      <c r="F29" s="185">
        <f t="shared" si="0"/>
        <v>2.7058470789584455E-2</v>
      </c>
    </row>
    <row r="30" spans="1:6" s="163" customFormat="1" ht="15" customHeight="1" x14ac:dyDescent="0.35">
      <c r="A30" s="171" t="s">
        <v>76</v>
      </c>
      <c r="B30" s="172">
        <f>SUM(B31:B36)</f>
        <v>1880410.4</v>
      </c>
      <c r="C30" s="172">
        <f t="shared" ref="C30:D30" si="5">SUM(C31:C36)</f>
        <v>1810756.68</v>
      </c>
      <c r="D30" s="172">
        <f t="shared" si="5"/>
        <v>1820177.59</v>
      </c>
      <c r="E30" s="169">
        <f t="shared" si="0"/>
        <v>-3.7041764925358822E-2</v>
      </c>
      <c r="F30" s="170">
        <f t="shared" si="0"/>
        <v>5.2027476159857144E-3</v>
      </c>
    </row>
    <row r="31" spans="1:6" s="9" customFormat="1" ht="15" customHeight="1" x14ac:dyDescent="0.35">
      <c r="A31" s="165" t="s">
        <v>21</v>
      </c>
      <c r="B31" s="166">
        <v>661913.05000000005</v>
      </c>
      <c r="C31" s="166">
        <v>843595.43</v>
      </c>
      <c r="D31" s="166">
        <v>765209.93</v>
      </c>
      <c r="E31" s="167">
        <f t="shared" si="0"/>
        <v>0.27448073428979836</v>
      </c>
      <c r="F31" s="168">
        <f t="shared" si="0"/>
        <v>-9.291835542541993E-2</v>
      </c>
    </row>
    <row r="32" spans="1:6" s="9" customFormat="1" ht="15" customHeight="1" x14ac:dyDescent="0.35">
      <c r="A32" s="165" t="s">
        <v>22</v>
      </c>
      <c r="B32" s="166">
        <v>32029.119999999999</v>
      </c>
      <c r="C32" s="166">
        <v>28311.8</v>
      </c>
      <c r="D32" s="166">
        <v>28484.98</v>
      </c>
      <c r="E32" s="167">
        <f t="shared" si="0"/>
        <v>-0.11606063482231166</v>
      </c>
      <c r="F32" s="168">
        <f t="shared" si="0"/>
        <v>6.1168841260534901E-3</v>
      </c>
    </row>
    <row r="33" spans="1:6" s="9" customFormat="1" ht="15" customHeight="1" x14ac:dyDescent="0.35">
      <c r="A33" s="165" t="s">
        <v>23</v>
      </c>
      <c r="B33" s="166">
        <v>215775.21</v>
      </c>
      <c r="C33" s="166">
        <v>248072.84</v>
      </c>
      <c r="D33" s="166">
        <v>278406.84000000003</v>
      </c>
      <c r="E33" s="167">
        <f t="shared" si="0"/>
        <v>0.14968183787192246</v>
      </c>
      <c r="F33" s="168">
        <f t="shared" si="0"/>
        <v>0.12227860172036586</v>
      </c>
    </row>
    <row r="34" spans="1:6" s="9" customFormat="1" ht="15" customHeight="1" x14ac:dyDescent="0.35">
      <c r="A34" s="165" t="s">
        <v>24</v>
      </c>
      <c r="B34" s="166">
        <v>653904.43999999994</v>
      </c>
      <c r="C34" s="166">
        <v>447309.2</v>
      </c>
      <c r="D34" s="166">
        <v>502794.06</v>
      </c>
      <c r="E34" s="167">
        <f t="shared" si="0"/>
        <v>-0.31594102649004796</v>
      </c>
      <c r="F34" s="168">
        <f t="shared" si="0"/>
        <v>0.12404140133938668</v>
      </c>
    </row>
    <row r="35" spans="1:6" s="9" customFormat="1" ht="15" customHeight="1" x14ac:dyDescent="0.35">
      <c r="A35" s="165" t="s">
        <v>25</v>
      </c>
      <c r="B35" s="166">
        <v>316788.58</v>
      </c>
      <c r="C35" s="166">
        <v>243467.41</v>
      </c>
      <c r="D35" s="166">
        <v>245281.78</v>
      </c>
      <c r="E35" s="167">
        <f t="shared" si="0"/>
        <v>-0.23145143047770222</v>
      </c>
      <c r="F35" s="168">
        <f t="shared" si="0"/>
        <v>7.4522089013884241E-3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1266460.2</v>
      </c>
      <c r="C37" s="172">
        <v>1286467.8099999998</v>
      </c>
      <c r="D37" s="172">
        <v>1292807.17</v>
      </c>
      <c r="E37" s="169">
        <f t="shared" si="0"/>
        <v>1.5798056662183146E-2</v>
      </c>
      <c r="F37" s="170">
        <f t="shared" si="0"/>
        <v>4.9277253194544013E-3</v>
      </c>
    </row>
    <row r="38" spans="1:6" s="7" customFormat="1" ht="15" customHeight="1" x14ac:dyDescent="0.35">
      <c r="A38" s="173" t="s">
        <v>70</v>
      </c>
      <c r="B38" s="174">
        <v>1138334.0999999999</v>
      </c>
      <c r="C38" s="174">
        <v>1170374.06</v>
      </c>
      <c r="D38" s="174">
        <v>1177356.42</v>
      </c>
      <c r="E38" s="169">
        <f t="shared" si="0"/>
        <v>2.8146358788689652E-2</v>
      </c>
      <c r="F38" s="170">
        <f t="shared" si="0"/>
        <v>5.9659216985721297E-3</v>
      </c>
    </row>
    <row r="39" spans="1:6" s="10" customFormat="1" ht="15" customHeight="1" x14ac:dyDescent="0.35">
      <c r="A39" s="171" t="s">
        <v>78</v>
      </c>
      <c r="B39" s="172">
        <v>723659.04</v>
      </c>
      <c r="C39" s="172">
        <v>752746.49</v>
      </c>
      <c r="D39" s="172">
        <v>1026158.6</v>
      </c>
      <c r="E39" s="169">
        <f t="shared" si="0"/>
        <v>4.0194965297469354E-2</v>
      </c>
      <c r="F39" s="170">
        <f t="shared" si="0"/>
        <v>0.36321937548988115</v>
      </c>
    </row>
    <row r="40" spans="1:6" s="10" customFormat="1" ht="15" customHeight="1" x14ac:dyDescent="0.35">
      <c r="A40" s="175" t="s">
        <v>79</v>
      </c>
      <c r="B40" s="176">
        <v>457324.95000000042</v>
      </c>
      <c r="C40" s="176">
        <v>567286.33000000031</v>
      </c>
      <c r="D40" s="176">
        <v>685881.22999999986</v>
      </c>
      <c r="E40" s="177">
        <f t="shared" si="0"/>
        <v>0.24044474284641537</v>
      </c>
      <c r="F40" s="178">
        <f t="shared" si="0"/>
        <v>0.20905650943501408</v>
      </c>
    </row>
    <row r="41" spans="1:6" ht="15" customHeight="1" x14ac:dyDescent="0.35">
      <c r="A41" s="31" t="s">
        <v>75</v>
      </c>
      <c r="B41" s="23">
        <f>+B30+B37+B39+B40</f>
        <v>4327854.59</v>
      </c>
      <c r="C41" s="23">
        <f>+C30+C37+C39+C40</f>
        <v>4417257.3099999996</v>
      </c>
      <c r="D41" s="23">
        <f>+D30+D37+D39+D40</f>
        <v>4825024.59</v>
      </c>
      <c r="E41" s="24">
        <f t="shared" si="0"/>
        <v>2.065751474334987E-2</v>
      </c>
      <c r="F41" s="32">
        <f t="shared" si="0"/>
        <v>9.2312322190712504E-2</v>
      </c>
    </row>
    <row r="42" spans="1:6" ht="15" customHeight="1" x14ac:dyDescent="0.35">
      <c r="A42" s="33" t="s">
        <v>67</v>
      </c>
      <c r="B42" s="23">
        <v>289869.8799999996</v>
      </c>
      <c r="C42" s="23">
        <v>346205.92000000004</v>
      </c>
      <c r="D42" s="23">
        <v>446026.35</v>
      </c>
      <c r="E42" s="24">
        <f t="shared" si="0"/>
        <v>0.19434940946606982</v>
      </c>
      <c r="F42" s="32">
        <f t="shared" si="0"/>
        <v>0.28832675651531292</v>
      </c>
    </row>
    <row r="43" spans="1:6" ht="15" customHeight="1" x14ac:dyDescent="0.35">
      <c r="A43" s="33" t="s">
        <v>68</v>
      </c>
      <c r="B43" s="23">
        <v>166460.20000000001</v>
      </c>
      <c r="C43" s="23">
        <v>192886.6</v>
      </c>
      <c r="D43" s="23">
        <v>256477.39</v>
      </c>
      <c r="E43" s="24">
        <f t="shared" si="0"/>
        <v>0.1587550657754826</v>
      </c>
      <c r="F43" s="32">
        <f t="shared" si="0"/>
        <v>0.32967966670572246</v>
      </c>
    </row>
    <row r="44" spans="1:6" ht="15" customHeight="1" x14ac:dyDescent="0.35">
      <c r="A44" s="33" t="s">
        <v>69</v>
      </c>
      <c r="B44" s="23"/>
      <c r="C44" s="23">
        <v>2</v>
      </c>
      <c r="D44" s="23"/>
      <c r="E44" s="24" t="str">
        <f t="shared" si="0"/>
        <v/>
      </c>
      <c r="F44" s="32">
        <f t="shared" si="0"/>
        <v>-1</v>
      </c>
    </row>
    <row r="45" spans="1:6" ht="15" customHeight="1" x14ac:dyDescent="0.35">
      <c r="A45" s="186" t="s">
        <v>80</v>
      </c>
      <c r="B45" s="187">
        <v>1743472.79</v>
      </c>
      <c r="C45" s="187">
        <v>2151487.42</v>
      </c>
      <c r="D45" s="187">
        <v>2625471.94</v>
      </c>
      <c r="E45" s="188">
        <f t="shared" si="0"/>
        <v>0.23402408821074849</v>
      </c>
      <c r="F45" s="189">
        <f t="shared" si="0"/>
        <v>0.22030550380815139</v>
      </c>
    </row>
    <row r="46" spans="1:6" ht="15" customHeight="1" x14ac:dyDescent="0.35">
      <c r="A46" s="171" t="s">
        <v>81</v>
      </c>
      <c r="B46" s="190">
        <v>76350.539999999994</v>
      </c>
      <c r="C46" s="190">
        <v>163782.16</v>
      </c>
      <c r="D46" s="190">
        <v>95504.58</v>
      </c>
      <c r="E46" s="191">
        <f t="shared" si="0"/>
        <v>1.14513427147994</v>
      </c>
      <c r="F46" s="192">
        <f t="shared" si="0"/>
        <v>-0.41688044656389922</v>
      </c>
    </row>
    <row r="47" spans="1:6" ht="15" customHeight="1" x14ac:dyDescent="0.35">
      <c r="A47" s="175" t="s">
        <v>82</v>
      </c>
      <c r="B47" s="193"/>
      <c r="C47" s="193">
        <v>9376.7999999999993</v>
      </c>
      <c r="D47" s="193">
        <v>1145.8499999999999</v>
      </c>
      <c r="E47" s="194" t="str">
        <f t="shared" si="0"/>
        <v/>
      </c>
      <c r="F47" s="195">
        <f t="shared" si="0"/>
        <v>-0.8777994625031994</v>
      </c>
    </row>
    <row r="48" spans="1:6" ht="15" customHeight="1" thickBot="1" x14ac:dyDescent="0.4">
      <c r="A48" s="90" t="s">
        <v>83</v>
      </c>
      <c r="B48" s="91">
        <v>4239141.8000000007</v>
      </c>
      <c r="C48" s="91">
        <v>2324646.38</v>
      </c>
      <c r="D48" s="91">
        <v>2722122.37</v>
      </c>
      <c r="E48" s="92">
        <f t="shared" si="0"/>
        <v>-0.45162334980160379</v>
      </c>
      <c r="F48" s="79">
        <f t="shared" si="0"/>
        <v>0.17098342071278827</v>
      </c>
    </row>
    <row r="49" spans="1:7" s="3" customFormat="1" ht="15" customHeight="1" thickBot="1" x14ac:dyDescent="0.4">
      <c r="A49" s="96" t="s">
        <v>28</v>
      </c>
      <c r="B49" s="97">
        <f>B27+B28+B41+B42+B43+B44+B48</f>
        <v>17415177.079999998</v>
      </c>
      <c r="C49" s="97">
        <f>C27+C28+C41+C42+C43+C44+C48</f>
        <v>16501138.16</v>
      </c>
      <c r="D49" s="97">
        <f>D27+D28+D41+D42+D43+D44+D48</f>
        <v>17652593.93</v>
      </c>
      <c r="E49" s="98">
        <f t="shared" si="0"/>
        <v>-5.2485192415855586E-2</v>
      </c>
      <c r="F49" s="99">
        <f t="shared" si="0"/>
        <v>6.9780384773167725E-2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7499448.7999999998</v>
      </c>
      <c r="C51" s="58">
        <f>+C11</f>
        <v>8022900.7299999995</v>
      </c>
      <c r="D51" s="44">
        <f>+D11</f>
        <v>8475020.5500000007</v>
      </c>
      <c r="E51" s="59">
        <f t="shared" si="0"/>
        <v>6.9798720407291848E-2</v>
      </c>
      <c r="F51" s="28">
        <f t="shared" si="0"/>
        <v>5.6353660005961537E-2</v>
      </c>
    </row>
    <row r="52" spans="1:7" ht="15" customHeight="1" x14ac:dyDescent="0.35">
      <c r="A52" s="40" t="s">
        <v>9</v>
      </c>
      <c r="B52" s="45">
        <f>+B28</f>
        <v>1531419.24</v>
      </c>
      <c r="C52" s="49">
        <f>+C28</f>
        <v>2031740.4700000002</v>
      </c>
      <c r="D52" s="45">
        <f>+D28</f>
        <v>2049677.2600000002</v>
      </c>
      <c r="E52" s="53">
        <f t="shared" si="0"/>
        <v>0.32670428641082006</v>
      </c>
      <c r="F52" s="30">
        <f t="shared" si="0"/>
        <v>8.8282879948737847E-3</v>
      </c>
    </row>
    <row r="53" spans="1:7" ht="15" customHeight="1" x14ac:dyDescent="0.35">
      <c r="A53" s="40" t="s">
        <v>10</v>
      </c>
      <c r="B53" s="45">
        <f>+B41</f>
        <v>4327854.59</v>
      </c>
      <c r="C53" s="49">
        <f>+C41</f>
        <v>4417257.3099999996</v>
      </c>
      <c r="D53" s="45">
        <f>+D41</f>
        <v>4825024.59</v>
      </c>
      <c r="E53" s="53">
        <f t="shared" si="0"/>
        <v>2.065751474334987E-2</v>
      </c>
      <c r="F53" s="30">
        <f t="shared" si="0"/>
        <v>9.2312322190712504E-2</v>
      </c>
    </row>
    <row r="54" spans="1:7" s="3" customFormat="1" ht="15" customHeight="1" x14ac:dyDescent="0.35">
      <c r="A54" s="41" t="s">
        <v>11</v>
      </c>
      <c r="B54" s="46">
        <f>B51-B52-B53</f>
        <v>1640174.9699999997</v>
      </c>
      <c r="C54" s="50">
        <f t="shared" ref="C54:D54" si="6">C51-C52-C53</f>
        <v>1573902.9500000002</v>
      </c>
      <c r="D54" s="46">
        <f t="shared" si="6"/>
        <v>1600318.7000000011</v>
      </c>
      <c r="E54" s="54">
        <f t="shared" si="0"/>
        <v>-4.0405457473844719E-2</v>
      </c>
      <c r="F54" s="34">
        <f t="shared" si="0"/>
        <v>1.6783595201979251E-2</v>
      </c>
      <c r="G54" s="4"/>
    </row>
    <row r="55" spans="1:7" ht="15" customHeight="1" x14ac:dyDescent="0.35">
      <c r="A55" s="40" t="s">
        <v>12</v>
      </c>
      <c r="B55" s="45">
        <f>B15</f>
        <v>5496122.0099999998</v>
      </c>
      <c r="C55" s="49">
        <f>C15</f>
        <v>7114447.3700000001</v>
      </c>
      <c r="D55" s="45">
        <f>D15</f>
        <v>5890472.8700000001</v>
      </c>
      <c r="E55" s="53">
        <f t="shared" si="0"/>
        <v>0.29444858703200438</v>
      </c>
      <c r="F55" s="30">
        <f t="shared" si="0"/>
        <v>-0.17204069920612819</v>
      </c>
    </row>
    <row r="56" spans="1:7" ht="15" customHeight="1" x14ac:dyDescent="0.35">
      <c r="A56" s="40" t="s">
        <v>13</v>
      </c>
      <c r="B56" s="45">
        <f>B27</f>
        <v>6860431.3699999992</v>
      </c>
      <c r="C56" s="49">
        <f>C27</f>
        <v>7188399.4800000004</v>
      </c>
      <c r="D56" s="45">
        <f>D27</f>
        <v>7353265.9699999997</v>
      </c>
      <c r="E56" s="53">
        <f t="shared" si="0"/>
        <v>4.7805756272728539E-2</v>
      </c>
      <c r="F56" s="30">
        <f t="shared" si="0"/>
        <v>2.2935076223671302E-2</v>
      </c>
    </row>
    <row r="57" spans="1:7" ht="15" customHeight="1" x14ac:dyDescent="0.35">
      <c r="A57" s="40" t="s">
        <v>14</v>
      </c>
      <c r="B57" s="45">
        <f>B42+B43</f>
        <v>456330.07999999961</v>
      </c>
      <c r="C57" s="49">
        <f t="shared" ref="C57:D57" si="7">C42+C43</f>
        <v>539092.52</v>
      </c>
      <c r="D57" s="45">
        <f t="shared" si="7"/>
        <v>702503.74</v>
      </c>
      <c r="E57" s="53">
        <f t="shared" si="0"/>
        <v>0.18136529592789596</v>
      </c>
      <c r="F57" s="30">
        <f t="shared" si="0"/>
        <v>0.30312277380513453</v>
      </c>
    </row>
    <row r="58" spans="1:7" s="3" customFormat="1" ht="15" customHeight="1" x14ac:dyDescent="0.35">
      <c r="A58" s="42" t="s">
        <v>15</v>
      </c>
      <c r="B58" s="47">
        <f>+B54+B55-B56-B57</f>
        <v>-180464.46999999927</v>
      </c>
      <c r="C58" s="51">
        <f>+C54+C55-C56-C57</f>
        <v>960858.31999999983</v>
      </c>
      <c r="D58" s="47">
        <f t="shared" ref="D58" si="8">+D54+D55-D56-D57</f>
        <v>-564978.1399999985</v>
      </c>
      <c r="E58" s="55">
        <f t="shared" si="0"/>
        <v>-6.3243628510365708</v>
      </c>
      <c r="F58" s="35">
        <f t="shared" si="0"/>
        <v>-1.5879931809301486</v>
      </c>
      <c r="G58" s="4"/>
    </row>
    <row r="59" spans="1:7" ht="15" customHeight="1" x14ac:dyDescent="0.35">
      <c r="A59" s="40" t="s">
        <v>16</v>
      </c>
      <c r="B59" s="45">
        <f t="shared" ref="B59:D60" si="9">B20</f>
        <v>3963280.59</v>
      </c>
      <c r="C59" s="49">
        <f t="shared" si="9"/>
        <v>2357351.2899999996</v>
      </c>
      <c r="D59" s="45">
        <f t="shared" si="9"/>
        <v>2687539.23</v>
      </c>
      <c r="E59" s="53">
        <f t="shared" si="0"/>
        <v>-0.40520201977422965</v>
      </c>
      <c r="F59" s="30">
        <f t="shared" si="0"/>
        <v>0.14006734651754016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4239141.8000000007</v>
      </c>
      <c r="C61" s="49">
        <f t="shared" ref="C61:D61" si="10">C48</f>
        <v>2324646.38</v>
      </c>
      <c r="D61" s="45">
        <f t="shared" si="10"/>
        <v>2722122.37</v>
      </c>
      <c r="E61" s="53">
        <f t="shared" si="0"/>
        <v>-0.45162334980160379</v>
      </c>
      <c r="F61" s="30">
        <f t="shared" si="0"/>
        <v>0.17098342071278827</v>
      </c>
    </row>
    <row r="62" spans="1:7" ht="15" customHeight="1" x14ac:dyDescent="0.35">
      <c r="A62" s="40" t="s">
        <v>19</v>
      </c>
      <c r="B62" s="45">
        <f>B44</f>
        <v>0</v>
      </c>
      <c r="C62" s="49">
        <f t="shared" ref="C62:D62" si="11">C44</f>
        <v>2</v>
      </c>
      <c r="D62" s="45">
        <f t="shared" si="11"/>
        <v>0</v>
      </c>
      <c r="E62" s="53" t="e">
        <f t="shared" si="0"/>
        <v>#DIV/0!</v>
      </c>
      <c r="F62" s="30">
        <f t="shared" si="0"/>
        <v>-1</v>
      </c>
    </row>
    <row r="63" spans="1:7" s="3" customFormat="1" ht="15" customHeight="1" thickBot="1" x14ac:dyDescent="0.4">
      <c r="A63" s="43" t="s">
        <v>20</v>
      </c>
      <c r="B63" s="48">
        <f>B58+B59+B60-B61-B62</f>
        <v>-456325.68000000017</v>
      </c>
      <c r="C63" s="52">
        <f t="shared" ref="C63:D63" si="12">C58+C59+C60-C61-C62</f>
        <v>993561.22999999952</v>
      </c>
      <c r="D63" s="48">
        <f t="shared" si="12"/>
        <v>-599561.2799999984</v>
      </c>
      <c r="E63" s="56">
        <f t="shared" si="0"/>
        <v>-3.1773072907051803</v>
      </c>
      <c r="F63" s="36">
        <f t="shared" si="0"/>
        <v>-1.6034467347321901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1743472.79</v>
      </c>
      <c r="C65" s="26">
        <f t="shared" ref="C65:D65" si="13">C45</f>
        <v>2151487.42</v>
      </c>
      <c r="D65" s="26">
        <f t="shared" si="13"/>
        <v>2625471.94</v>
      </c>
      <c r="E65" s="27">
        <f t="shared" ref="E65:E66" si="14">+IF(ISBLANK(B65),"",+C65/B65-1)</f>
        <v>0.23402408821074849</v>
      </c>
      <c r="F65" s="28">
        <f t="shared" ref="F65:F66" si="15">+IF(ISBLANK(C65),"",+D65/C65-1)</f>
        <v>0.22030550380815139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3871463.9</v>
      </c>
      <c r="C66" s="19">
        <f t="shared" si="16"/>
        <v>2112091.7799999998</v>
      </c>
      <c r="D66" s="19">
        <f t="shared" si="16"/>
        <v>2577535.42</v>
      </c>
      <c r="E66" s="20">
        <f t="shared" si="14"/>
        <v>-0.45444621606829405</v>
      </c>
      <c r="F66" s="30">
        <f t="shared" si="15"/>
        <v>0.22037093482746295</v>
      </c>
    </row>
    <row r="67" spans="1:6" ht="15" customHeight="1" thickBot="1" x14ac:dyDescent="0.4">
      <c r="A67" s="207" t="s">
        <v>85</v>
      </c>
      <c r="B67" s="208">
        <f>B65-B66</f>
        <v>-2127991.11</v>
      </c>
      <c r="C67" s="208">
        <f t="shared" ref="C67:D67" si="17">C65-C66</f>
        <v>39395.64000000013</v>
      </c>
      <c r="D67" s="208">
        <f t="shared" si="17"/>
        <v>47936.520000000019</v>
      </c>
      <c r="E67" s="209">
        <f>+IF(ISBLANK(B67),"",+C67/B67-1)</f>
        <v>-1.0185130660625741</v>
      </c>
      <c r="F67" s="210">
        <f>+IF(ISBLANK(C67),"",+D67/C67-1)</f>
        <v>0.21679759486074746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01A41-A730-4C7A-939B-5CFA2314D3CB}">
  <sheetPr>
    <tabColor theme="5" tint="0.79998168889431442"/>
    <pageSetUpPr fitToPage="1"/>
  </sheetPr>
  <dimension ref="A1:G72"/>
  <sheetViews>
    <sheetView topLeftCell="A31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43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19739678.239999998</v>
      </c>
      <c r="C6" s="102">
        <v>20744764.129999999</v>
      </c>
      <c r="D6" s="101">
        <v>23130136.190000001</v>
      </c>
      <c r="E6" s="103">
        <f>+IF(ISBLANK(B6),"",+C6/B6-1)</f>
        <v>5.0917035109686815E-2</v>
      </c>
      <c r="F6" s="104">
        <f>+IF(ISBLANK(C6),"",+D6/C6-1)</f>
        <v>0.11498670435834946</v>
      </c>
    </row>
    <row r="7" spans="1:6" ht="15" customHeight="1" x14ac:dyDescent="0.35">
      <c r="A7" s="105" t="s">
        <v>2</v>
      </c>
      <c r="B7" s="106">
        <v>8819982.25</v>
      </c>
      <c r="C7" s="107">
        <v>10460654.23</v>
      </c>
      <c r="D7" s="106">
        <v>10812583.58</v>
      </c>
      <c r="E7" s="108">
        <f t="shared" ref="E7:F63" si="0">+IF(ISBLANK(B7),"",+C7/B7-1)</f>
        <v>0.18601760564767589</v>
      </c>
      <c r="F7" s="109">
        <f t="shared" si="0"/>
        <v>3.3643149105407222E-2</v>
      </c>
    </row>
    <row r="8" spans="1:6" ht="15" customHeight="1" x14ac:dyDescent="0.35">
      <c r="A8" s="105" t="s">
        <v>4</v>
      </c>
      <c r="B8" s="106">
        <v>415575.65</v>
      </c>
      <c r="C8" s="107">
        <v>496136.78</v>
      </c>
      <c r="D8" s="106">
        <v>224503.86</v>
      </c>
      <c r="E8" s="108">
        <f t="shared" si="0"/>
        <v>0.19385430787390945</v>
      </c>
      <c r="F8" s="109">
        <f t="shared" si="0"/>
        <v>-0.5474960352667263</v>
      </c>
    </row>
    <row r="9" spans="1:6" ht="15" customHeight="1" x14ac:dyDescent="0.35">
      <c r="A9" s="105" t="s">
        <v>3</v>
      </c>
      <c r="B9" s="106">
        <v>750</v>
      </c>
      <c r="C9" s="107">
        <v>57075.58</v>
      </c>
      <c r="D9" s="106">
        <v>49657.39</v>
      </c>
      <c r="E9" s="108">
        <f t="shared" si="0"/>
        <v>75.100773333333336</v>
      </c>
      <c r="F9" s="109">
        <f t="shared" si="0"/>
        <v>-0.1299713467651139</v>
      </c>
    </row>
    <row r="10" spans="1:6" ht="15" customHeight="1" x14ac:dyDescent="0.35">
      <c r="A10" s="110" t="s">
        <v>5</v>
      </c>
      <c r="B10" s="111">
        <f>351038.09+77550</f>
        <v>428588.09</v>
      </c>
      <c r="C10" s="112">
        <v>1147181.19</v>
      </c>
      <c r="D10" s="111">
        <f>784423.57+17700</f>
        <v>802123.57</v>
      </c>
      <c r="E10" s="113">
        <f t="shared" si="0"/>
        <v>1.6766520506904423</v>
      </c>
      <c r="F10" s="114">
        <f t="shared" si="0"/>
        <v>-0.30078737605521588</v>
      </c>
    </row>
    <row r="11" spans="1:6" s="3" customFormat="1" ht="15" customHeight="1" x14ac:dyDescent="0.35">
      <c r="A11" s="64" t="s">
        <v>62</v>
      </c>
      <c r="B11" s="67">
        <f>SUM(B6:B10)</f>
        <v>29404574.229999997</v>
      </c>
      <c r="C11" s="70">
        <f t="shared" ref="C11:D11" si="1">SUM(C6:C10)</f>
        <v>32905811.91</v>
      </c>
      <c r="D11" s="67">
        <f t="shared" si="1"/>
        <v>35019004.590000004</v>
      </c>
      <c r="E11" s="73">
        <f t="shared" si="0"/>
        <v>0.11907119118997023</v>
      </c>
      <c r="F11" s="38">
        <f t="shared" si="0"/>
        <v>6.4219435939758984E-2</v>
      </c>
    </row>
    <row r="12" spans="1:6" ht="15" customHeight="1" x14ac:dyDescent="0.35">
      <c r="A12" s="115" t="s">
        <v>29</v>
      </c>
      <c r="B12" s="116">
        <v>17653390</v>
      </c>
      <c r="C12" s="117">
        <v>22718094</v>
      </c>
      <c r="D12" s="116">
        <v>19667942</v>
      </c>
      <c r="E12" s="118">
        <f t="shared" si="0"/>
        <v>0.28689696426578681</v>
      </c>
      <c r="F12" s="119">
        <f t="shared" si="0"/>
        <v>-0.13426091114862015</v>
      </c>
    </row>
    <row r="13" spans="1:6" ht="15" customHeight="1" x14ac:dyDescent="0.35">
      <c r="A13" s="105" t="s">
        <v>60</v>
      </c>
      <c r="B13" s="106">
        <v>630716.85</v>
      </c>
      <c r="C13" s="107">
        <v>634680.18999999994</v>
      </c>
      <c r="D13" s="106">
        <v>663351.25</v>
      </c>
      <c r="E13" s="108">
        <f t="shared" si="0"/>
        <v>6.28386573150852E-3</v>
      </c>
      <c r="F13" s="109">
        <f t="shared" si="0"/>
        <v>4.5174026937881973E-2</v>
      </c>
    </row>
    <row r="14" spans="1:6" ht="15" customHeight="1" x14ac:dyDescent="0.35">
      <c r="A14" s="110" t="s">
        <v>61</v>
      </c>
      <c r="B14" s="111">
        <v>344639.04000000085</v>
      </c>
      <c r="C14" s="112">
        <v>826958.09999999939</v>
      </c>
      <c r="D14" s="111">
        <v>319980</v>
      </c>
      <c r="E14" s="113">
        <f t="shared" si="0"/>
        <v>1.3994904930097221</v>
      </c>
      <c r="F14" s="114">
        <f t="shared" si="0"/>
        <v>-0.61306382995704345</v>
      </c>
    </row>
    <row r="15" spans="1:6" s="3" customFormat="1" ht="15" customHeight="1" x14ac:dyDescent="0.35">
      <c r="A15" s="64" t="s">
        <v>63</v>
      </c>
      <c r="B15" s="67">
        <f>SUM(B12:B14)</f>
        <v>18628745.890000001</v>
      </c>
      <c r="C15" s="70">
        <f t="shared" ref="C15:D15" si="2">SUM(C12:C14)</f>
        <v>24179732.289999999</v>
      </c>
      <c r="D15" s="67">
        <f t="shared" si="2"/>
        <v>20651273.25</v>
      </c>
      <c r="E15" s="73">
        <f t="shared" si="0"/>
        <v>0.29797960811628199</v>
      </c>
      <c r="F15" s="38">
        <f t="shared" si="0"/>
        <v>-0.14592630711049115</v>
      </c>
    </row>
    <row r="16" spans="1:6" s="11" customFormat="1" ht="15" customHeight="1" x14ac:dyDescent="0.35">
      <c r="A16" s="120" t="s">
        <v>74</v>
      </c>
      <c r="B16" s="121">
        <v>3569214.69</v>
      </c>
      <c r="C16" s="122">
        <v>4070371.25</v>
      </c>
      <c r="D16" s="121">
        <v>4663906.42</v>
      </c>
      <c r="E16" s="123">
        <f t="shared" si="0"/>
        <v>0.14041087564839083</v>
      </c>
      <c r="F16" s="124">
        <f t="shared" si="0"/>
        <v>0.14581843609474188</v>
      </c>
    </row>
    <row r="17" spans="1:6" s="11" customFormat="1" ht="15" customHeight="1" x14ac:dyDescent="0.35">
      <c r="A17" s="125" t="s">
        <v>71</v>
      </c>
      <c r="B17" s="126">
        <v>944008.96</v>
      </c>
      <c r="C17" s="127">
        <v>1220181.21</v>
      </c>
      <c r="D17" s="126">
        <v>932462.15</v>
      </c>
      <c r="E17" s="128">
        <f t="shared" si="0"/>
        <v>0.29255257280608871</v>
      </c>
      <c r="F17" s="129">
        <f t="shared" si="0"/>
        <v>-0.23580027101056567</v>
      </c>
    </row>
    <row r="18" spans="1:6" s="11" customFormat="1" ht="15" customHeight="1" x14ac:dyDescent="0.35">
      <c r="A18" s="125" t="s">
        <v>72</v>
      </c>
      <c r="B18" s="126"/>
      <c r="C18" s="127"/>
      <c r="D18" s="126"/>
      <c r="E18" s="128" t="str">
        <f t="shared" si="0"/>
        <v/>
      </c>
      <c r="F18" s="129" t="str">
        <f t="shared" si="0"/>
        <v/>
      </c>
    </row>
    <row r="19" spans="1:6" s="11" customFormat="1" ht="15" customHeight="1" x14ac:dyDescent="0.35">
      <c r="A19" s="130" t="s">
        <v>73</v>
      </c>
      <c r="B19" s="131">
        <v>142654.34</v>
      </c>
      <c r="C19" s="132">
        <v>219520.4</v>
      </c>
      <c r="D19" s="131">
        <v>263236.84000000003</v>
      </c>
      <c r="E19" s="133">
        <f t="shared" si="0"/>
        <v>0.53882735008272453</v>
      </c>
      <c r="F19" s="134">
        <f t="shared" si="0"/>
        <v>0.19914522750505204</v>
      </c>
    </row>
    <row r="20" spans="1:6" ht="15" customHeight="1" x14ac:dyDescent="0.35">
      <c r="A20" s="65" t="s">
        <v>84</v>
      </c>
      <c r="B20" s="68">
        <f>SUM(B16:B19)</f>
        <v>4655877.99</v>
      </c>
      <c r="C20" s="71">
        <f t="shared" ref="C20:D20" si="3">SUM(C16:C19)</f>
        <v>5510072.8600000003</v>
      </c>
      <c r="D20" s="68">
        <f t="shared" si="3"/>
        <v>5859605.4100000001</v>
      </c>
      <c r="E20" s="74">
        <f t="shared" si="0"/>
        <v>0.1834659052137233</v>
      </c>
      <c r="F20" s="32">
        <f t="shared" si="0"/>
        <v>6.3435195664545141E-2</v>
      </c>
    </row>
    <row r="21" spans="1:6" ht="15" customHeight="1" thickBot="1" x14ac:dyDescent="0.4">
      <c r="A21" s="75" t="s">
        <v>64</v>
      </c>
      <c r="B21" s="76"/>
      <c r="C21" s="77">
        <v>48986.81</v>
      </c>
      <c r="D21" s="76"/>
      <c r="E21" s="78" t="str">
        <f t="shared" si="0"/>
        <v/>
      </c>
      <c r="F21" s="79">
        <f t="shared" si="0"/>
        <v>-1</v>
      </c>
    </row>
    <row r="22" spans="1:6" s="3" customFormat="1" ht="15" customHeight="1" thickBot="1" x14ac:dyDescent="0.4">
      <c r="A22" s="85" t="s">
        <v>27</v>
      </c>
      <c r="B22" s="86">
        <f>B11+B15+B20+B21</f>
        <v>52689198.109999999</v>
      </c>
      <c r="C22" s="87">
        <f>C11+C15+C20+C21</f>
        <v>62644603.870000005</v>
      </c>
      <c r="D22" s="86">
        <f>D11+D15+D20+D21</f>
        <v>61529883.25</v>
      </c>
      <c r="E22" s="88">
        <f t="shared" si="0"/>
        <v>0.18894585829937971</v>
      </c>
      <c r="F22" s="89">
        <f t="shared" si="0"/>
        <v>-1.7794359787369207E-2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15441224.91</v>
      </c>
      <c r="C24" s="155">
        <v>17080040.310000002</v>
      </c>
      <c r="D24" s="155">
        <v>17455642.620000001</v>
      </c>
      <c r="E24" s="156">
        <f t="shared" si="0"/>
        <v>0.1061324739165399</v>
      </c>
      <c r="F24" s="104">
        <f t="shared" si="0"/>
        <v>2.1990715664768734E-2</v>
      </c>
    </row>
    <row r="25" spans="1:6" ht="15" customHeight="1" x14ac:dyDescent="0.35">
      <c r="A25" s="157" t="s">
        <v>40</v>
      </c>
      <c r="B25" s="158">
        <v>7169825.5499999998</v>
      </c>
      <c r="C25" s="158">
        <v>7686602.79</v>
      </c>
      <c r="D25" s="158">
        <v>7887588</v>
      </c>
      <c r="E25" s="159">
        <f t="shared" si="0"/>
        <v>7.2076682535183956E-2</v>
      </c>
      <c r="F25" s="109">
        <f t="shared" si="0"/>
        <v>2.6147469238487764E-2</v>
      </c>
    </row>
    <row r="26" spans="1:6" ht="15" customHeight="1" x14ac:dyDescent="0.35">
      <c r="A26" s="160" t="s">
        <v>41</v>
      </c>
      <c r="B26" s="161">
        <v>491067.1</v>
      </c>
      <c r="C26" s="161">
        <v>387146.68</v>
      </c>
      <c r="D26" s="161">
        <v>473272.59999999992</v>
      </c>
      <c r="E26" s="162">
        <f t="shared" si="0"/>
        <v>-0.21162162971211063</v>
      </c>
      <c r="F26" s="114">
        <f t="shared" si="0"/>
        <v>0.22246327929248921</v>
      </c>
    </row>
    <row r="27" spans="1:6" ht="15" customHeight="1" x14ac:dyDescent="0.35">
      <c r="A27" s="31" t="s">
        <v>65</v>
      </c>
      <c r="B27" s="23">
        <f>B24+B25+B26</f>
        <v>23102117.560000002</v>
      </c>
      <c r="C27" s="23">
        <f t="shared" ref="C27:D27" si="4">C24+C25+C26</f>
        <v>25153789.780000001</v>
      </c>
      <c r="D27" s="23">
        <f t="shared" si="4"/>
        <v>25816503.220000003</v>
      </c>
      <c r="E27" s="24">
        <f t="shared" si="0"/>
        <v>8.8808838179940341E-2</v>
      </c>
      <c r="F27" s="32">
        <f t="shared" si="0"/>
        <v>2.6346464918257873E-2</v>
      </c>
    </row>
    <row r="28" spans="1:6" ht="15" customHeight="1" x14ac:dyDescent="0.35">
      <c r="A28" s="33" t="s">
        <v>66</v>
      </c>
      <c r="B28" s="23">
        <v>6311104.4899999993</v>
      </c>
      <c r="C28" s="23">
        <v>7571327.3899999997</v>
      </c>
      <c r="D28" s="23">
        <v>7686848.2700000005</v>
      </c>
      <c r="E28" s="24">
        <f t="shared" si="0"/>
        <v>0.19968341547772428</v>
      </c>
      <c r="F28" s="32">
        <f t="shared" si="0"/>
        <v>1.5257678614264858E-2</v>
      </c>
    </row>
    <row r="29" spans="1:6" s="6" customFormat="1" ht="15" customHeight="1" x14ac:dyDescent="0.35">
      <c r="A29" s="182" t="s">
        <v>26</v>
      </c>
      <c r="B29" s="183">
        <v>5886350.8499999996</v>
      </c>
      <c r="C29" s="183">
        <v>7063154.96</v>
      </c>
      <c r="D29" s="183">
        <v>7177047.8300000001</v>
      </c>
      <c r="E29" s="184">
        <f t="shared" si="0"/>
        <v>0.19992082361179686</v>
      </c>
      <c r="F29" s="185">
        <f t="shared" si="0"/>
        <v>1.6124928682012207E-2</v>
      </c>
    </row>
    <row r="30" spans="1:6" s="163" customFormat="1" ht="15" customHeight="1" x14ac:dyDescent="0.35">
      <c r="A30" s="171" t="s">
        <v>76</v>
      </c>
      <c r="B30" s="172">
        <f>SUM(B31:B36)</f>
        <v>5681844.6799999997</v>
      </c>
      <c r="C30" s="172">
        <f t="shared" ref="C30:D30" si="5">SUM(C31:C36)</f>
        <v>6721918.0399999991</v>
      </c>
      <c r="D30" s="172">
        <f t="shared" si="5"/>
        <v>7714637.1100000003</v>
      </c>
      <c r="E30" s="169">
        <f t="shared" si="0"/>
        <v>0.18305205766377952</v>
      </c>
      <c r="F30" s="170">
        <f t="shared" si="0"/>
        <v>0.14768389975787355</v>
      </c>
    </row>
    <row r="31" spans="1:6" s="9" customFormat="1" ht="15" customHeight="1" x14ac:dyDescent="0.35">
      <c r="A31" s="165" t="s">
        <v>21</v>
      </c>
      <c r="B31" s="166">
        <v>1987814.6</v>
      </c>
      <c r="C31" s="166">
        <v>2818559.58</v>
      </c>
      <c r="D31" s="166">
        <v>3049666.92</v>
      </c>
      <c r="E31" s="167">
        <f t="shared" si="0"/>
        <v>0.41791874352869729</v>
      </c>
      <c r="F31" s="168">
        <f t="shared" si="0"/>
        <v>8.1994839364012861E-2</v>
      </c>
    </row>
    <row r="32" spans="1:6" s="9" customFormat="1" ht="15" customHeight="1" x14ac:dyDescent="0.35">
      <c r="A32" s="165" t="s">
        <v>22</v>
      </c>
      <c r="B32" s="166">
        <v>37351.33</v>
      </c>
      <c r="C32" s="166">
        <v>35026.92</v>
      </c>
      <c r="D32" s="166">
        <v>80736.98</v>
      </c>
      <c r="E32" s="167">
        <f t="shared" si="0"/>
        <v>-6.2230983475019541E-2</v>
      </c>
      <c r="F32" s="168">
        <f t="shared" si="0"/>
        <v>1.3049979844074215</v>
      </c>
    </row>
    <row r="33" spans="1:6" s="9" customFormat="1" ht="15" customHeight="1" x14ac:dyDescent="0.35">
      <c r="A33" s="165" t="s">
        <v>23</v>
      </c>
      <c r="B33" s="166">
        <v>1006133.53</v>
      </c>
      <c r="C33" s="166">
        <v>1378201.44</v>
      </c>
      <c r="D33" s="166">
        <v>1566494.52</v>
      </c>
      <c r="E33" s="167">
        <f t="shared" si="0"/>
        <v>0.36979973224826312</v>
      </c>
      <c r="F33" s="168">
        <f t="shared" si="0"/>
        <v>0.13662232133497132</v>
      </c>
    </row>
    <row r="34" spans="1:6" s="9" customFormat="1" ht="15" customHeight="1" x14ac:dyDescent="0.35">
      <c r="A34" s="165" t="s">
        <v>24</v>
      </c>
      <c r="B34" s="166">
        <v>1643939.34</v>
      </c>
      <c r="C34" s="166">
        <v>1538888.85</v>
      </c>
      <c r="D34" s="166">
        <v>1672611.57</v>
      </c>
      <c r="E34" s="167">
        <f t="shared" si="0"/>
        <v>-6.3901682649677327E-2</v>
      </c>
      <c r="F34" s="168">
        <f t="shared" si="0"/>
        <v>8.6895632520828325E-2</v>
      </c>
    </row>
    <row r="35" spans="1:6" s="9" customFormat="1" ht="15" customHeight="1" x14ac:dyDescent="0.35">
      <c r="A35" s="165" t="s">
        <v>25</v>
      </c>
      <c r="B35" s="166">
        <v>1006605.88</v>
      </c>
      <c r="C35" s="166">
        <v>951241.25</v>
      </c>
      <c r="D35" s="166">
        <v>1345127.12</v>
      </c>
      <c r="E35" s="167">
        <f t="shared" si="0"/>
        <v>-5.5001298025399992E-2</v>
      </c>
      <c r="F35" s="168">
        <f t="shared" si="0"/>
        <v>0.41407568269353345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3979316.2399999998</v>
      </c>
      <c r="C37" s="172">
        <v>3875914.9299999997</v>
      </c>
      <c r="D37" s="172">
        <v>3940087.5900000003</v>
      </c>
      <c r="E37" s="169">
        <f t="shared" si="0"/>
        <v>-2.5984692787321739E-2</v>
      </c>
      <c r="F37" s="170">
        <f t="shared" si="0"/>
        <v>1.6556777214922214E-2</v>
      </c>
    </row>
    <row r="38" spans="1:6" s="7" customFormat="1" ht="15" customHeight="1" x14ac:dyDescent="0.35">
      <c r="A38" s="173" t="s">
        <v>70</v>
      </c>
      <c r="B38" s="174">
        <v>3674273.4099999997</v>
      </c>
      <c r="C38" s="174">
        <v>3589607.36</v>
      </c>
      <c r="D38" s="174">
        <v>3624698.7600000002</v>
      </c>
      <c r="E38" s="169">
        <f t="shared" si="0"/>
        <v>-2.3042936807470715E-2</v>
      </c>
      <c r="F38" s="170">
        <f t="shared" si="0"/>
        <v>9.7758324186187906E-3</v>
      </c>
    </row>
    <row r="39" spans="1:6" s="10" customFormat="1" ht="15" customHeight="1" x14ac:dyDescent="0.35">
      <c r="A39" s="171" t="s">
        <v>78</v>
      </c>
      <c r="B39" s="172">
        <v>3409623.18</v>
      </c>
      <c r="C39" s="172">
        <v>3330550.8200000003</v>
      </c>
      <c r="D39" s="172">
        <v>3404967.17</v>
      </c>
      <c r="E39" s="169">
        <f t="shared" si="0"/>
        <v>-2.3190938067238265E-2</v>
      </c>
      <c r="F39" s="170">
        <f t="shared" si="0"/>
        <v>2.2343556373056517E-2</v>
      </c>
    </row>
    <row r="40" spans="1:6" s="10" customFormat="1" ht="15" customHeight="1" x14ac:dyDescent="0.35">
      <c r="A40" s="175" t="s">
        <v>79</v>
      </c>
      <c r="B40" s="176">
        <v>3834791.0700000003</v>
      </c>
      <c r="C40" s="176">
        <v>4081910.7700000037</v>
      </c>
      <c r="D40" s="176">
        <v>4836919.4700000025</v>
      </c>
      <c r="E40" s="177">
        <f t="shared" si="0"/>
        <v>6.4441502936952277E-2</v>
      </c>
      <c r="F40" s="178">
        <f t="shared" si="0"/>
        <v>0.18496452826674559</v>
      </c>
    </row>
    <row r="41" spans="1:6" ht="15" customHeight="1" x14ac:dyDescent="0.35">
      <c r="A41" s="31" t="s">
        <v>75</v>
      </c>
      <c r="B41" s="23">
        <f>+B30+B37+B39+B40</f>
        <v>16905575.170000002</v>
      </c>
      <c r="C41" s="23">
        <f>+C30+C37+C39+C40</f>
        <v>18010294.560000002</v>
      </c>
      <c r="D41" s="23">
        <f>+D30+D37+D39+D40</f>
        <v>19896611.340000004</v>
      </c>
      <c r="E41" s="24">
        <f t="shared" si="0"/>
        <v>6.5346453988764264E-2</v>
      </c>
      <c r="F41" s="32">
        <f t="shared" si="0"/>
        <v>0.10473547635303082</v>
      </c>
    </row>
    <row r="42" spans="1:6" ht="15" customHeight="1" x14ac:dyDescent="0.35">
      <c r="A42" s="33" t="s">
        <v>67</v>
      </c>
      <c r="B42" s="23">
        <v>1150416.46</v>
      </c>
      <c r="C42" s="23">
        <v>1526410.37</v>
      </c>
      <c r="D42" s="23">
        <v>1488163.99</v>
      </c>
      <c r="E42" s="24">
        <f t="shared" si="0"/>
        <v>0.3268328671166616</v>
      </c>
      <c r="F42" s="32">
        <f t="shared" si="0"/>
        <v>-2.5056420443474892E-2</v>
      </c>
    </row>
    <row r="43" spans="1:6" ht="15" customHeight="1" x14ac:dyDescent="0.35">
      <c r="A43" s="33" t="s">
        <v>68</v>
      </c>
      <c r="B43" s="23">
        <v>36938.080000000002</v>
      </c>
      <c r="C43" s="23">
        <v>33072.69</v>
      </c>
      <c r="D43" s="23"/>
      <c r="E43" s="24">
        <f t="shared" si="0"/>
        <v>-0.10464512503086243</v>
      </c>
      <c r="F43" s="32">
        <f t="shared" si="0"/>
        <v>-1</v>
      </c>
    </row>
    <row r="44" spans="1:6" ht="15" customHeight="1" x14ac:dyDescent="0.35">
      <c r="A44" s="33" t="s">
        <v>69</v>
      </c>
      <c r="B44" s="23">
        <v>41607</v>
      </c>
      <c r="C44" s="23">
        <v>2817.15</v>
      </c>
      <c r="D44" s="23"/>
      <c r="E44" s="24">
        <f t="shared" si="0"/>
        <v>-0.93229144134400466</v>
      </c>
      <c r="F44" s="32">
        <f t="shared" si="0"/>
        <v>-1</v>
      </c>
    </row>
    <row r="45" spans="1:6" ht="15" customHeight="1" x14ac:dyDescent="0.35">
      <c r="A45" s="186" t="s">
        <v>80</v>
      </c>
      <c r="B45" s="187">
        <v>5269444.82</v>
      </c>
      <c r="C45" s="187">
        <v>5854863.2199999997</v>
      </c>
      <c r="D45" s="187">
        <v>6455585.6299999999</v>
      </c>
      <c r="E45" s="188">
        <f t="shared" si="0"/>
        <v>0.11109678913005472</v>
      </c>
      <c r="F45" s="189">
        <f t="shared" si="0"/>
        <v>0.10260229614723615</v>
      </c>
    </row>
    <row r="46" spans="1:6" ht="15" customHeight="1" x14ac:dyDescent="0.35">
      <c r="A46" s="171" t="s">
        <v>81</v>
      </c>
      <c r="B46" s="190">
        <v>957445.99</v>
      </c>
      <c r="C46" s="190">
        <v>976417.92</v>
      </c>
      <c r="D46" s="190">
        <v>1037447.12</v>
      </c>
      <c r="E46" s="191">
        <f t="shared" si="0"/>
        <v>1.981514382863514E-2</v>
      </c>
      <c r="F46" s="192">
        <f t="shared" si="0"/>
        <v>6.250315438700671E-2</v>
      </c>
    </row>
    <row r="47" spans="1:6" ht="15" customHeight="1" x14ac:dyDescent="0.35">
      <c r="A47" s="175" t="s">
        <v>82</v>
      </c>
      <c r="B47" s="196"/>
      <c r="C47" s="196"/>
      <c r="D47" s="196"/>
      <c r="E47" s="194" t="str">
        <f t="shared" si="0"/>
        <v/>
      </c>
      <c r="F47" s="195" t="str">
        <f t="shared" si="0"/>
        <v/>
      </c>
    </row>
    <row r="48" spans="1:6" ht="15" customHeight="1" thickBot="1" x14ac:dyDescent="0.4">
      <c r="A48" s="90" t="s">
        <v>83</v>
      </c>
      <c r="B48" s="91">
        <v>6226890.8099999996</v>
      </c>
      <c r="C48" s="91">
        <v>6831281.1399999997</v>
      </c>
      <c r="D48" s="91">
        <v>7493032.75</v>
      </c>
      <c r="E48" s="92">
        <f t="shared" si="0"/>
        <v>9.7061334210226891E-2</v>
      </c>
      <c r="F48" s="79">
        <f t="shared" si="0"/>
        <v>9.6870791354958019E-2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53774649.57</v>
      </c>
      <c r="C49" s="97">
        <f>C27+C28+C41+C42+C43+C44+C48</f>
        <v>59128993.079999998</v>
      </c>
      <c r="D49" s="97">
        <f>D27+D28+D41+D42+D43+D44+D48</f>
        <v>62381159.570000008</v>
      </c>
      <c r="E49" s="98">
        <f t="shared" si="0"/>
        <v>9.9570030726654934E-2</v>
      </c>
      <c r="F49" s="99">
        <f t="shared" si="0"/>
        <v>5.5001215488312383E-2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29404574.229999997</v>
      </c>
      <c r="C51" s="58">
        <f>+C11</f>
        <v>32905811.91</v>
      </c>
      <c r="D51" s="44">
        <f>+D11</f>
        <v>35019004.590000004</v>
      </c>
      <c r="E51" s="59">
        <f t="shared" si="0"/>
        <v>0.11907119118997023</v>
      </c>
      <c r="F51" s="28">
        <f t="shared" si="0"/>
        <v>6.4219435939758984E-2</v>
      </c>
    </row>
    <row r="52" spans="1:7" ht="15" customHeight="1" x14ac:dyDescent="0.35">
      <c r="A52" s="40" t="s">
        <v>9</v>
      </c>
      <c r="B52" s="45">
        <f>+B28</f>
        <v>6311104.4899999993</v>
      </c>
      <c r="C52" s="49">
        <f>+C28</f>
        <v>7571327.3899999997</v>
      </c>
      <c r="D52" s="45">
        <f>+D28</f>
        <v>7686848.2700000005</v>
      </c>
      <c r="E52" s="53">
        <f t="shared" si="0"/>
        <v>0.19968341547772428</v>
      </c>
      <c r="F52" s="30">
        <f t="shared" si="0"/>
        <v>1.5257678614264858E-2</v>
      </c>
    </row>
    <row r="53" spans="1:7" ht="15" customHeight="1" x14ac:dyDescent="0.35">
      <c r="A53" s="40" t="s">
        <v>10</v>
      </c>
      <c r="B53" s="45">
        <f>+B41</f>
        <v>16905575.170000002</v>
      </c>
      <c r="C53" s="49">
        <f>+C41</f>
        <v>18010294.560000002</v>
      </c>
      <c r="D53" s="45">
        <f>+D41</f>
        <v>19896611.340000004</v>
      </c>
      <c r="E53" s="53">
        <f t="shared" si="0"/>
        <v>6.5346453988764264E-2</v>
      </c>
      <c r="F53" s="30">
        <f t="shared" si="0"/>
        <v>0.10473547635303082</v>
      </c>
    </row>
    <row r="54" spans="1:7" s="3" customFormat="1" ht="15" customHeight="1" x14ac:dyDescent="0.35">
      <c r="A54" s="41" t="s">
        <v>11</v>
      </c>
      <c r="B54" s="46">
        <f>B51-B52-B53</f>
        <v>6187894.5699999966</v>
      </c>
      <c r="C54" s="50">
        <f t="shared" ref="C54:D54" si="6">C51-C52-C53</f>
        <v>7324189.9599999972</v>
      </c>
      <c r="D54" s="46">
        <f t="shared" si="6"/>
        <v>7435544.9800000004</v>
      </c>
      <c r="E54" s="54">
        <f t="shared" si="0"/>
        <v>0.18363198938601188</v>
      </c>
      <c r="F54" s="34">
        <f t="shared" si="0"/>
        <v>1.520373182674839E-2</v>
      </c>
      <c r="G54" s="4"/>
    </row>
    <row r="55" spans="1:7" ht="15" customHeight="1" x14ac:dyDescent="0.35">
      <c r="A55" s="40" t="s">
        <v>12</v>
      </c>
      <c r="B55" s="45">
        <f>B15</f>
        <v>18628745.890000001</v>
      </c>
      <c r="C55" s="49">
        <f>C15</f>
        <v>24179732.289999999</v>
      </c>
      <c r="D55" s="45">
        <f>D15</f>
        <v>20651273.25</v>
      </c>
      <c r="E55" s="53">
        <f t="shared" si="0"/>
        <v>0.29797960811628199</v>
      </c>
      <c r="F55" s="30">
        <f t="shared" si="0"/>
        <v>-0.14592630711049115</v>
      </c>
    </row>
    <row r="56" spans="1:7" ht="15" customHeight="1" x14ac:dyDescent="0.35">
      <c r="A56" s="40" t="s">
        <v>13</v>
      </c>
      <c r="B56" s="45">
        <f>B27</f>
        <v>23102117.560000002</v>
      </c>
      <c r="C56" s="49">
        <f>C27</f>
        <v>25153789.780000001</v>
      </c>
      <c r="D56" s="45">
        <f>D27</f>
        <v>25816503.220000003</v>
      </c>
      <c r="E56" s="53">
        <f t="shared" si="0"/>
        <v>8.8808838179940341E-2</v>
      </c>
      <c r="F56" s="30">
        <f t="shared" si="0"/>
        <v>2.6346464918257873E-2</v>
      </c>
    </row>
    <row r="57" spans="1:7" ht="15" customHeight="1" x14ac:dyDescent="0.35">
      <c r="A57" s="40" t="s">
        <v>14</v>
      </c>
      <c r="B57" s="45">
        <f>B42+B43</f>
        <v>1187354.54</v>
      </c>
      <c r="C57" s="49">
        <f t="shared" ref="C57:D57" si="7">C42+C43</f>
        <v>1559483.06</v>
      </c>
      <c r="D57" s="45">
        <f t="shared" si="7"/>
        <v>1488163.99</v>
      </c>
      <c r="E57" s="53">
        <f t="shared" si="0"/>
        <v>0.31340977565134009</v>
      </c>
      <c r="F57" s="30">
        <f t="shared" si="0"/>
        <v>-4.5732507027040126E-2</v>
      </c>
    </row>
    <row r="58" spans="1:7" s="3" customFormat="1" ht="15" customHeight="1" x14ac:dyDescent="0.35">
      <c r="A58" s="42" t="s">
        <v>15</v>
      </c>
      <c r="B58" s="47">
        <f>+B54+B55-B56-B57</f>
        <v>527168.35999999475</v>
      </c>
      <c r="C58" s="51">
        <f>+C54+C55-C56-C57</f>
        <v>4790649.4099999946</v>
      </c>
      <c r="D58" s="47">
        <f t="shared" ref="D58" si="8">+D54+D55-D56-D57</f>
        <v>782151.01999999792</v>
      </c>
      <c r="E58" s="55">
        <f t="shared" si="0"/>
        <v>8.0875131618294436</v>
      </c>
      <c r="F58" s="35">
        <f t="shared" si="0"/>
        <v>-0.8367338218556889</v>
      </c>
      <c r="G58" s="4"/>
    </row>
    <row r="59" spans="1:7" ht="15" customHeight="1" x14ac:dyDescent="0.35">
      <c r="A59" s="40" t="s">
        <v>16</v>
      </c>
      <c r="B59" s="45">
        <f t="shared" ref="B59:D60" si="9">B20</f>
        <v>4655877.99</v>
      </c>
      <c r="C59" s="49">
        <f t="shared" si="9"/>
        <v>5510072.8600000003</v>
      </c>
      <c r="D59" s="45">
        <f t="shared" si="9"/>
        <v>5859605.4100000001</v>
      </c>
      <c r="E59" s="53">
        <f t="shared" si="0"/>
        <v>0.1834659052137233</v>
      </c>
      <c r="F59" s="30">
        <f t="shared" si="0"/>
        <v>6.3435195664545141E-2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48986.81</v>
      </c>
      <c r="D60" s="45">
        <f t="shared" si="9"/>
        <v>0</v>
      </c>
      <c r="E60" s="53" t="e">
        <f t="shared" si="0"/>
        <v>#DIV/0!</v>
      </c>
      <c r="F60" s="30">
        <f t="shared" si="0"/>
        <v>-1</v>
      </c>
    </row>
    <row r="61" spans="1:7" ht="15" customHeight="1" x14ac:dyDescent="0.35">
      <c r="A61" s="40" t="s">
        <v>18</v>
      </c>
      <c r="B61" s="45">
        <f>B48</f>
        <v>6226890.8099999996</v>
      </c>
      <c r="C61" s="49">
        <f t="shared" ref="C61:D61" si="10">C48</f>
        <v>6831281.1399999997</v>
      </c>
      <c r="D61" s="45">
        <f t="shared" si="10"/>
        <v>7493032.75</v>
      </c>
      <c r="E61" s="53">
        <f t="shared" si="0"/>
        <v>9.7061334210226891E-2</v>
      </c>
      <c r="F61" s="30">
        <f t="shared" si="0"/>
        <v>9.6870791354958019E-2</v>
      </c>
    </row>
    <row r="62" spans="1:7" ht="15" customHeight="1" x14ac:dyDescent="0.35">
      <c r="A62" s="40" t="s">
        <v>19</v>
      </c>
      <c r="B62" s="45">
        <f>B44</f>
        <v>41607</v>
      </c>
      <c r="C62" s="49">
        <f t="shared" ref="C62:D62" si="11">C44</f>
        <v>2817.15</v>
      </c>
      <c r="D62" s="45">
        <f t="shared" si="11"/>
        <v>0</v>
      </c>
      <c r="E62" s="53">
        <f t="shared" si="0"/>
        <v>-0.93229144134400466</v>
      </c>
      <c r="F62" s="30">
        <f t="shared" si="0"/>
        <v>-1</v>
      </c>
    </row>
    <row r="63" spans="1:7" s="3" customFormat="1" ht="15" customHeight="1" thickBot="1" x14ac:dyDescent="0.4">
      <c r="A63" s="43" t="s">
        <v>20</v>
      </c>
      <c r="B63" s="48">
        <f>B58+B59+B60-B61-B62</f>
        <v>-1085451.4600000046</v>
      </c>
      <c r="C63" s="52">
        <f t="shared" ref="C63:D63" si="12">C58+C59+C60-C61-C62</f>
        <v>3515610.7899999968</v>
      </c>
      <c r="D63" s="48">
        <f t="shared" si="12"/>
        <v>-851276.32000000216</v>
      </c>
      <c r="E63" s="56">
        <f t="shared" si="0"/>
        <v>-4.2388466177934685</v>
      </c>
      <c r="F63" s="36">
        <f t="shared" si="0"/>
        <v>-1.2421417986375003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5269444.82</v>
      </c>
      <c r="C65" s="26">
        <f t="shared" ref="C65:D65" si="13">C45</f>
        <v>5854863.2199999997</v>
      </c>
      <c r="D65" s="26">
        <f t="shared" si="13"/>
        <v>6455585.6299999999</v>
      </c>
      <c r="E65" s="27">
        <f t="shared" ref="E65:E66" si="14">+IF(ISBLANK(B65),"",+C65/B65-1)</f>
        <v>0.11109678913005472</v>
      </c>
      <c r="F65" s="28">
        <f t="shared" ref="F65:F66" si="15">+IF(ISBLANK(C65),"",+D65/C65-1)</f>
        <v>0.10260229614723615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3569214.69</v>
      </c>
      <c r="C66" s="19">
        <f t="shared" si="16"/>
        <v>4070371.25</v>
      </c>
      <c r="D66" s="19">
        <f t="shared" si="16"/>
        <v>4663906.42</v>
      </c>
      <c r="E66" s="20">
        <f t="shared" si="14"/>
        <v>0.14041087564839083</v>
      </c>
      <c r="F66" s="30">
        <f t="shared" si="15"/>
        <v>0.14581843609474188</v>
      </c>
    </row>
    <row r="67" spans="1:6" ht="15" customHeight="1" thickBot="1" x14ac:dyDescent="0.4">
      <c r="A67" s="207" t="s">
        <v>85</v>
      </c>
      <c r="B67" s="208">
        <f>B65-B66</f>
        <v>1700230.1300000004</v>
      </c>
      <c r="C67" s="208">
        <f t="shared" ref="C67:D67" si="17">C65-C66</f>
        <v>1784491.9699999997</v>
      </c>
      <c r="D67" s="208">
        <f t="shared" si="17"/>
        <v>1791679.21</v>
      </c>
      <c r="E67" s="209">
        <f>+IF(ISBLANK(B67),"",+C67/B67-1)</f>
        <v>4.9559079393563854E-2</v>
      </c>
      <c r="F67" s="210">
        <f>+IF(ISBLANK(C67),"",+D67/C67-1)</f>
        <v>4.0276112870376579E-3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406F7-F70B-46FD-BB8B-AD3E57283B61}">
  <sheetPr>
    <tabColor theme="5" tint="0.79998168889431442"/>
    <pageSetUpPr fitToPage="1"/>
  </sheetPr>
  <dimension ref="A1:G72"/>
  <sheetViews>
    <sheetView topLeftCell="A29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44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30999341.859999999</v>
      </c>
      <c r="C6" s="102">
        <v>35391154.149999999</v>
      </c>
      <c r="D6" s="101">
        <v>36472487.729999997</v>
      </c>
      <c r="E6" s="103">
        <f>+IF(ISBLANK(B6),"",+C6/B6-1)</f>
        <v>0.14167437198616706</v>
      </c>
      <c r="F6" s="104">
        <f>+IF(ISBLANK(C6),"",+D6/C6-1)</f>
        <v>3.0553781191111407E-2</v>
      </c>
    </row>
    <row r="7" spans="1:6" ht="15" customHeight="1" x14ac:dyDescent="0.35">
      <c r="A7" s="105" t="s">
        <v>2</v>
      </c>
      <c r="B7" s="106">
        <v>10295885.09</v>
      </c>
      <c r="C7" s="107">
        <v>11314406.26</v>
      </c>
      <c r="D7" s="106">
        <v>12266731.18</v>
      </c>
      <c r="E7" s="108">
        <f t="shared" ref="E7:F63" si="0">+IF(ISBLANK(B7),"",+C7/B7-1)</f>
        <v>9.892507162781472E-2</v>
      </c>
      <c r="F7" s="109">
        <f t="shared" si="0"/>
        <v>8.4169235054495806E-2</v>
      </c>
    </row>
    <row r="8" spans="1:6" ht="15" customHeight="1" x14ac:dyDescent="0.35">
      <c r="A8" s="105" t="s">
        <v>4</v>
      </c>
      <c r="B8" s="106">
        <v>378966</v>
      </c>
      <c r="C8" s="107">
        <v>394941</v>
      </c>
      <c r="D8" s="106">
        <v>925</v>
      </c>
      <c r="E8" s="108">
        <f t="shared" si="0"/>
        <v>4.2154177419610139E-2</v>
      </c>
      <c r="F8" s="109">
        <f t="shared" si="0"/>
        <v>-0.99765787801215877</v>
      </c>
    </row>
    <row r="9" spans="1:6" ht="15" customHeight="1" x14ac:dyDescent="0.35">
      <c r="A9" s="105" t="s">
        <v>3</v>
      </c>
      <c r="B9" s="106">
        <v>872252.27</v>
      </c>
      <c r="C9" s="107">
        <v>986268.07</v>
      </c>
      <c r="D9" s="106">
        <v>1417737.63</v>
      </c>
      <c r="E9" s="108">
        <f t="shared" si="0"/>
        <v>0.13071424852812363</v>
      </c>
      <c r="F9" s="109">
        <f t="shared" si="0"/>
        <v>0.43747696303298156</v>
      </c>
    </row>
    <row r="10" spans="1:6" ht="15" customHeight="1" x14ac:dyDescent="0.35">
      <c r="A10" s="110" t="s">
        <v>5</v>
      </c>
      <c r="B10" s="111">
        <v>782792.4</v>
      </c>
      <c r="C10" s="112">
        <v>997522.77</v>
      </c>
      <c r="D10" s="111">
        <v>601706.81000000006</v>
      </c>
      <c r="E10" s="113">
        <f t="shared" si="0"/>
        <v>0.27431330452365144</v>
      </c>
      <c r="F10" s="114">
        <f t="shared" si="0"/>
        <v>-0.39679892219402668</v>
      </c>
    </row>
    <row r="11" spans="1:6" s="3" customFormat="1" ht="15" customHeight="1" x14ac:dyDescent="0.35">
      <c r="A11" s="64" t="s">
        <v>62</v>
      </c>
      <c r="B11" s="67">
        <f>SUM(B6:B10)</f>
        <v>43329237.620000005</v>
      </c>
      <c r="C11" s="70">
        <f t="shared" ref="C11:D11" si="1">SUM(C6:C10)</f>
        <v>49084292.25</v>
      </c>
      <c r="D11" s="67">
        <f t="shared" si="1"/>
        <v>50759588.350000001</v>
      </c>
      <c r="E11" s="73">
        <f t="shared" si="0"/>
        <v>0.13282150681884053</v>
      </c>
      <c r="F11" s="38">
        <f t="shared" si="0"/>
        <v>3.413100246953249E-2</v>
      </c>
    </row>
    <row r="12" spans="1:6" ht="15" customHeight="1" x14ac:dyDescent="0.35">
      <c r="A12" s="115" t="s">
        <v>29</v>
      </c>
      <c r="B12" s="116">
        <v>22405786</v>
      </c>
      <c r="C12" s="117">
        <v>24657759.219999999</v>
      </c>
      <c r="D12" s="116">
        <v>21621632</v>
      </c>
      <c r="E12" s="118">
        <f t="shared" si="0"/>
        <v>0.10050855703075978</v>
      </c>
      <c r="F12" s="119">
        <f t="shared" si="0"/>
        <v>-0.12313070270948967</v>
      </c>
    </row>
    <row r="13" spans="1:6" ht="15" customHeight="1" x14ac:dyDescent="0.35">
      <c r="A13" s="105" t="s">
        <v>60</v>
      </c>
      <c r="B13" s="106">
        <v>1687187.58</v>
      </c>
      <c r="C13" s="107">
        <v>1870179.62</v>
      </c>
      <c r="D13" s="106">
        <v>2058840.59</v>
      </c>
      <c r="E13" s="108">
        <f t="shared" si="0"/>
        <v>0.10845980741513039</v>
      </c>
      <c r="F13" s="109">
        <f t="shared" si="0"/>
        <v>0.10087852951792931</v>
      </c>
    </row>
    <row r="14" spans="1:6" ht="15" customHeight="1" x14ac:dyDescent="0.35">
      <c r="A14" s="110" t="s">
        <v>61</v>
      </c>
      <c r="B14" s="111">
        <v>155066.92999999836</v>
      </c>
      <c r="C14" s="112">
        <v>883911.63000000163</v>
      </c>
      <c r="D14" s="111">
        <v>1708868.530000001</v>
      </c>
      <c r="E14" s="113">
        <f t="shared" si="0"/>
        <v>4.700194296746643</v>
      </c>
      <c r="F14" s="114">
        <f t="shared" si="0"/>
        <v>0.9333024614689116</v>
      </c>
    </row>
    <row r="15" spans="1:6" s="3" customFormat="1" ht="15" customHeight="1" x14ac:dyDescent="0.35">
      <c r="A15" s="64" t="s">
        <v>63</v>
      </c>
      <c r="B15" s="67">
        <f>SUM(B12:B14)</f>
        <v>24248040.509999998</v>
      </c>
      <c r="C15" s="70">
        <f t="shared" ref="C15:D15" si="2">SUM(C12:C14)</f>
        <v>27411850.470000003</v>
      </c>
      <c r="D15" s="67">
        <f t="shared" si="2"/>
        <v>25389341.120000001</v>
      </c>
      <c r="E15" s="73">
        <f t="shared" si="0"/>
        <v>0.13047693312353359</v>
      </c>
      <c r="F15" s="38">
        <f t="shared" si="0"/>
        <v>-7.3782299090441539E-2</v>
      </c>
    </row>
    <row r="16" spans="1:6" s="11" customFormat="1" ht="15" customHeight="1" x14ac:dyDescent="0.35">
      <c r="A16" s="120" t="s">
        <v>74</v>
      </c>
      <c r="B16" s="121">
        <v>4667951.8099999996</v>
      </c>
      <c r="C16" s="122">
        <v>4597665.08</v>
      </c>
      <c r="D16" s="121">
        <v>8163638.6299999999</v>
      </c>
      <c r="E16" s="123">
        <f t="shared" si="0"/>
        <v>-1.5057295546502147E-2</v>
      </c>
      <c r="F16" s="124">
        <f t="shared" si="0"/>
        <v>0.77560533182638869</v>
      </c>
    </row>
    <row r="17" spans="1:6" s="11" customFormat="1" ht="15" customHeight="1" x14ac:dyDescent="0.35">
      <c r="A17" s="125" t="s">
        <v>71</v>
      </c>
      <c r="B17" s="126">
        <v>1998879.45</v>
      </c>
      <c r="C17" s="127">
        <v>340830.84</v>
      </c>
      <c r="D17" s="126">
        <v>949615.71000000008</v>
      </c>
      <c r="E17" s="128">
        <f t="shared" si="0"/>
        <v>-0.82948904697579429</v>
      </c>
      <c r="F17" s="129">
        <f t="shared" si="0"/>
        <v>1.786178944370175</v>
      </c>
    </row>
    <row r="18" spans="1:6" s="11" customFormat="1" ht="15" customHeight="1" x14ac:dyDescent="0.35">
      <c r="A18" s="125" t="s">
        <v>72</v>
      </c>
      <c r="B18" s="126"/>
      <c r="C18" s="127"/>
      <c r="D18" s="126"/>
      <c r="E18" s="128" t="str">
        <f t="shared" si="0"/>
        <v/>
      </c>
      <c r="F18" s="129" t="str">
        <f t="shared" si="0"/>
        <v/>
      </c>
    </row>
    <row r="19" spans="1:6" s="11" customFormat="1" ht="15" customHeight="1" x14ac:dyDescent="0.35">
      <c r="A19" s="130" t="s">
        <v>73</v>
      </c>
      <c r="B19" s="131">
        <v>257969.65</v>
      </c>
      <c r="C19" s="132">
        <v>338910.43</v>
      </c>
      <c r="D19" s="131">
        <v>299159.67</v>
      </c>
      <c r="E19" s="133">
        <f t="shared" si="0"/>
        <v>0.31376086295422745</v>
      </c>
      <c r="F19" s="134">
        <f t="shared" si="0"/>
        <v>-0.11728986918461026</v>
      </c>
    </row>
    <row r="20" spans="1:6" ht="15" customHeight="1" x14ac:dyDescent="0.35">
      <c r="A20" s="65" t="s">
        <v>84</v>
      </c>
      <c r="B20" s="68">
        <f>SUM(B16:B19)</f>
        <v>6924800.9100000001</v>
      </c>
      <c r="C20" s="71">
        <f t="shared" ref="C20:D20" si="3">SUM(C16:C19)</f>
        <v>5277406.3499999996</v>
      </c>
      <c r="D20" s="68">
        <f t="shared" si="3"/>
        <v>9412414.0099999998</v>
      </c>
      <c r="E20" s="74">
        <f t="shared" si="0"/>
        <v>-0.23789775062284069</v>
      </c>
      <c r="F20" s="32">
        <f t="shared" si="0"/>
        <v>0.78353027714077772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74502079.039999992</v>
      </c>
      <c r="C22" s="87">
        <f>C11+C15+C20+C21</f>
        <v>81773549.069999993</v>
      </c>
      <c r="D22" s="86">
        <f>D11+D15+D20+D21</f>
        <v>85561343.480000004</v>
      </c>
      <c r="E22" s="88">
        <f t="shared" si="0"/>
        <v>9.7600900856685602E-2</v>
      </c>
      <c r="F22" s="89">
        <f t="shared" si="0"/>
        <v>4.6320533388584773E-2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17473363.57</v>
      </c>
      <c r="C24" s="155">
        <v>19038388.68</v>
      </c>
      <c r="D24" s="155">
        <v>19842862.57</v>
      </c>
      <c r="E24" s="156">
        <f t="shared" si="0"/>
        <v>8.9566333564248035E-2</v>
      </c>
      <c r="F24" s="104">
        <f t="shared" si="0"/>
        <v>4.2255355929627925E-2</v>
      </c>
    </row>
    <row r="25" spans="1:6" ht="15" customHeight="1" x14ac:dyDescent="0.35">
      <c r="A25" s="157" t="s">
        <v>40</v>
      </c>
      <c r="B25" s="158">
        <v>8087658.9000000004</v>
      </c>
      <c r="C25" s="158">
        <v>8632241.0500000007</v>
      </c>
      <c r="D25" s="158">
        <v>8859870.3000000007</v>
      </c>
      <c r="E25" s="159">
        <f t="shared" si="0"/>
        <v>6.7334955236551863E-2</v>
      </c>
      <c r="F25" s="109">
        <f t="shared" si="0"/>
        <v>2.6369658664710194E-2</v>
      </c>
    </row>
    <row r="26" spans="1:6" ht="15" customHeight="1" x14ac:dyDescent="0.35">
      <c r="A26" s="160" t="s">
        <v>41</v>
      </c>
      <c r="B26" s="161">
        <v>577510.52</v>
      </c>
      <c r="C26" s="161">
        <v>526770.06000000006</v>
      </c>
      <c r="D26" s="161">
        <v>361654.47</v>
      </c>
      <c r="E26" s="162">
        <f t="shared" si="0"/>
        <v>-8.7860667888785771E-2</v>
      </c>
      <c r="F26" s="114">
        <f t="shared" si="0"/>
        <v>-0.31344907871187677</v>
      </c>
    </row>
    <row r="27" spans="1:6" ht="15" customHeight="1" x14ac:dyDescent="0.35">
      <c r="A27" s="31" t="s">
        <v>65</v>
      </c>
      <c r="B27" s="23">
        <f>B24+B25+B26</f>
        <v>26138532.989999998</v>
      </c>
      <c r="C27" s="23">
        <f t="shared" ref="C27:D27" si="4">C24+C25+C26</f>
        <v>28197399.789999999</v>
      </c>
      <c r="D27" s="23">
        <f t="shared" si="4"/>
        <v>29064387.34</v>
      </c>
      <c r="E27" s="24">
        <f t="shared" si="0"/>
        <v>7.8767496277915683E-2</v>
      </c>
      <c r="F27" s="32">
        <f t="shared" si="0"/>
        <v>3.0747074427319054E-2</v>
      </c>
    </row>
    <row r="28" spans="1:6" ht="15" customHeight="1" x14ac:dyDescent="0.35">
      <c r="A28" s="33" t="s">
        <v>66</v>
      </c>
      <c r="B28" s="23">
        <v>7062886.3499999987</v>
      </c>
      <c r="C28" s="23">
        <v>7931690.7000000002</v>
      </c>
      <c r="D28" s="23">
        <v>8899715.3599999994</v>
      </c>
      <c r="E28" s="24">
        <f t="shared" si="0"/>
        <v>0.12300981595151983</v>
      </c>
      <c r="F28" s="32">
        <f t="shared" si="0"/>
        <v>0.12204518514570917</v>
      </c>
    </row>
    <row r="29" spans="1:6" s="6" customFormat="1" ht="15" customHeight="1" x14ac:dyDescent="0.35">
      <c r="A29" s="182" t="s">
        <v>26</v>
      </c>
      <c r="B29" s="183">
        <v>6344350.0199999996</v>
      </c>
      <c r="C29" s="183">
        <v>7571441.9699999997</v>
      </c>
      <c r="D29" s="183">
        <v>8395854.8399999999</v>
      </c>
      <c r="E29" s="184">
        <f t="shared" si="0"/>
        <v>0.19341491975248881</v>
      </c>
      <c r="F29" s="185">
        <f t="shared" si="0"/>
        <v>0.10888452599472287</v>
      </c>
    </row>
    <row r="30" spans="1:6" s="163" customFormat="1" ht="15" customHeight="1" x14ac:dyDescent="0.35">
      <c r="A30" s="171" t="s">
        <v>76</v>
      </c>
      <c r="B30" s="172">
        <f>SUM(B31:B36)</f>
        <v>6138916.540000001</v>
      </c>
      <c r="C30" s="172">
        <f t="shared" ref="C30:D30" si="5">SUM(C31:C36)</f>
        <v>10371497.49</v>
      </c>
      <c r="D30" s="172">
        <f t="shared" si="5"/>
        <v>8724782.9700000007</v>
      </c>
      <c r="E30" s="169">
        <f t="shared" si="0"/>
        <v>0.6894670944654997</v>
      </c>
      <c r="F30" s="170">
        <f t="shared" si="0"/>
        <v>-0.15877307221910142</v>
      </c>
    </row>
    <row r="31" spans="1:6" s="9" customFormat="1" ht="15" customHeight="1" x14ac:dyDescent="0.35">
      <c r="A31" s="165" t="s">
        <v>21</v>
      </c>
      <c r="B31" s="166">
        <v>2961704.38</v>
      </c>
      <c r="C31" s="166">
        <v>5719142.4800000004</v>
      </c>
      <c r="D31" s="166">
        <v>4511815.8499999996</v>
      </c>
      <c r="E31" s="167">
        <f t="shared" si="0"/>
        <v>0.93103083434680967</v>
      </c>
      <c r="F31" s="168">
        <f t="shared" si="0"/>
        <v>-0.21110273685645276</v>
      </c>
    </row>
    <row r="32" spans="1:6" s="9" customFormat="1" ht="15" customHeight="1" x14ac:dyDescent="0.35">
      <c r="A32" s="165" t="s">
        <v>22</v>
      </c>
      <c r="B32" s="166">
        <v>6641.85</v>
      </c>
      <c r="C32" s="166">
        <v>95324.800000000003</v>
      </c>
      <c r="D32" s="166">
        <v>39465.53</v>
      </c>
      <c r="E32" s="167">
        <f t="shared" si="0"/>
        <v>13.352145862974924</v>
      </c>
      <c r="F32" s="168">
        <f t="shared" si="0"/>
        <v>-0.58598885075027696</v>
      </c>
    </row>
    <row r="33" spans="1:6" s="9" customFormat="1" ht="15" customHeight="1" x14ac:dyDescent="0.35">
      <c r="A33" s="165" t="s">
        <v>23</v>
      </c>
      <c r="B33" s="166">
        <v>73909.710000000006</v>
      </c>
      <c r="C33" s="166">
        <v>109826.03</v>
      </c>
      <c r="D33" s="166">
        <v>62466.15</v>
      </c>
      <c r="E33" s="167">
        <f t="shared" si="0"/>
        <v>0.48594859863473938</v>
      </c>
      <c r="F33" s="168">
        <f t="shared" si="0"/>
        <v>-0.43122636773814005</v>
      </c>
    </row>
    <row r="34" spans="1:6" s="9" customFormat="1" ht="15" customHeight="1" x14ac:dyDescent="0.35">
      <c r="A34" s="165" t="s">
        <v>24</v>
      </c>
      <c r="B34" s="166">
        <v>1975412.3</v>
      </c>
      <c r="C34" s="166">
        <v>3258784.87</v>
      </c>
      <c r="D34" s="166">
        <v>2917151.89</v>
      </c>
      <c r="E34" s="167">
        <f t="shared" si="0"/>
        <v>0.64967327073948056</v>
      </c>
      <c r="F34" s="168">
        <f t="shared" si="0"/>
        <v>-0.10483446856066936</v>
      </c>
    </row>
    <row r="35" spans="1:6" s="9" customFormat="1" ht="15" customHeight="1" x14ac:dyDescent="0.35">
      <c r="A35" s="165" t="s">
        <v>25</v>
      </c>
      <c r="B35" s="166">
        <v>1115828.32</v>
      </c>
      <c r="C35" s="166">
        <v>1186563.8</v>
      </c>
      <c r="D35" s="166">
        <v>1193883.55</v>
      </c>
      <c r="E35" s="167">
        <f t="shared" si="0"/>
        <v>6.3392798634112513E-2</v>
      </c>
      <c r="F35" s="168">
        <f t="shared" si="0"/>
        <v>6.1688634020353739E-3</v>
      </c>
    </row>
    <row r="36" spans="1:6" s="9" customFormat="1" ht="15" customHeight="1" x14ac:dyDescent="0.35">
      <c r="A36" s="165" t="s">
        <v>32</v>
      </c>
      <c r="B36" s="166">
        <v>5419.98</v>
      </c>
      <c r="C36" s="166">
        <v>1855.51</v>
      </c>
      <c r="D36" s="166"/>
      <c r="E36" s="167">
        <f t="shared" si="0"/>
        <v>-0.65765371827940322</v>
      </c>
      <c r="F36" s="168">
        <f t="shared" si="0"/>
        <v>-1</v>
      </c>
    </row>
    <row r="37" spans="1:6" s="10" customFormat="1" ht="15" customHeight="1" x14ac:dyDescent="0.35">
      <c r="A37" s="171" t="s">
        <v>77</v>
      </c>
      <c r="B37" s="172">
        <v>9784926.959999999</v>
      </c>
      <c r="C37" s="172">
        <v>8677041.5100000016</v>
      </c>
      <c r="D37" s="172">
        <v>9689448.4000000004</v>
      </c>
      <c r="E37" s="169">
        <f t="shared" si="0"/>
        <v>-0.11322368113006309</v>
      </c>
      <c r="F37" s="170">
        <f t="shared" si="0"/>
        <v>0.11667650648360195</v>
      </c>
    </row>
    <row r="38" spans="1:6" s="7" customFormat="1" ht="15" customHeight="1" x14ac:dyDescent="0.35">
      <c r="A38" s="173" t="s">
        <v>70</v>
      </c>
      <c r="B38" s="174">
        <v>9409993.6399999987</v>
      </c>
      <c r="C38" s="174">
        <v>8309087.4800000004</v>
      </c>
      <c r="D38" s="174">
        <v>9320064.5199999996</v>
      </c>
      <c r="E38" s="169">
        <f t="shared" si="0"/>
        <v>-0.11699329480099396</v>
      </c>
      <c r="F38" s="170">
        <f t="shared" si="0"/>
        <v>0.12167124758686487</v>
      </c>
    </row>
    <row r="39" spans="1:6" s="10" customFormat="1" ht="15" customHeight="1" x14ac:dyDescent="0.35">
      <c r="A39" s="171" t="s">
        <v>78</v>
      </c>
      <c r="B39" s="172">
        <v>4675690.4000000004</v>
      </c>
      <c r="C39" s="172">
        <v>3989985.1399999997</v>
      </c>
      <c r="D39" s="172">
        <v>4835107.9000000004</v>
      </c>
      <c r="E39" s="169">
        <f t="shared" si="0"/>
        <v>-0.14665326429654124</v>
      </c>
      <c r="F39" s="170">
        <f t="shared" si="0"/>
        <v>0.2118110043888537</v>
      </c>
    </row>
    <row r="40" spans="1:6" s="10" customFormat="1" ht="15" customHeight="1" x14ac:dyDescent="0.35">
      <c r="A40" s="175" t="s">
        <v>79</v>
      </c>
      <c r="B40" s="176">
        <v>6293499.7100000018</v>
      </c>
      <c r="C40" s="176">
        <v>6675743.3299999991</v>
      </c>
      <c r="D40" s="176">
        <v>6794675.5300000031</v>
      </c>
      <c r="E40" s="177">
        <f t="shared" si="0"/>
        <v>6.0736257664814719E-2</v>
      </c>
      <c r="F40" s="178">
        <f t="shared" si="0"/>
        <v>1.7815574104764753E-2</v>
      </c>
    </row>
    <row r="41" spans="1:6" ht="15" customHeight="1" x14ac:dyDescent="0.35">
      <c r="A41" s="31" t="s">
        <v>75</v>
      </c>
      <c r="B41" s="23">
        <f>+B30+B37+B39+B40</f>
        <v>26893033.609999999</v>
      </c>
      <c r="C41" s="23">
        <f>+C30+C37+C39+C40</f>
        <v>29714267.469999999</v>
      </c>
      <c r="D41" s="23">
        <f>+D30+D37+D39+D40</f>
        <v>30044014.800000004</v>
      </c>
      <c r="E41" s="24">
        <f t="shared" si="0"/>
        <v>0.10490574997648983</v>
      </c>
      <c r="F41" s="32">
        <f t="shared" si="0"/>
        <v>1.1097272727080387E-2</v>
      </c>
    </row>
    <row r="42" spans="1:6" ht="15" customHeight="1" x14ac:dyDescent="0.35">
      <c r="A42" s="33" t="s">
        <v>67</v>
      </c>
      <c r="B42" s="23">
        <v>965819.54</v>
      </c>
      <c r="C42" s="23">
        <v>1215929.3000000003</v>
      </c>
      <c r="D42" s="23">
        <v>5075408.97</v>
      </c>
      <c r="E42" s="24">
        <f t="shared" si="0"/>
        <v>0.25896117198043056</v>
      </c>
      <c r="F42" s="32">
        <f t="shared" si="0"/>
        <v>3.1740987489979871</v>
      </c>
    </row>
    <row r="43" spans="1:6" ht="15" customHeight="1" x14ac:dyDescent="0.35">
      <c r="A43" s="33" t="s">
        <v>68</v>
      </c>
      <c r="B43" s="23">
        <v>1700182.04</v>
      </c>
      <c r="C43" s="23">
        <v>1265340.44</v>
      </c>
      <c r="D43" s="23">
        <v>2007782.33</v>
      </c>
      <c r="E43" s="24">
        <f t="shared" si="0"/>
        <v>-0.25576178889644086</v>
      </c>
      <c r="F43" s="32">
        <f t="shared" si="0"/>
        <v>0.58675267661563102</v>
      </c>
    </row>
    <row r="44" spans="1:6" ht="15" customHeight="1" x14ac:dyDescent="0.35">
      <c r="A44" s="33" t="s">
        <v>69</v>
      </c>
      <c r="B44" s="23">
        <v>640426.26</v>
      </c>
      <c r="C44" s="23">
        <v>1254177.19</v>
      </c>
      <c r="D44" s="23">
        <v>1776759.16</v>
      </c>
      <c r="E44" s="24">
        <f t="shared" si="0"/>
        <v>0.95834753871585443</v>
      </c>
      <c r="F44" s="32">
        <f t="shared" si="0"/>
        <v>0.41667315764210322</v>
      </c>
    </row>
    <row r="45" spans="1:6" ht="15" customHeight="1" x14ac:dyDescent="0.35">
      <c r="A45" s="186" t="s">
        <v>80</v>
      </c>
      <c r="B45" s="187">
        <v>6292752.3399999999</v>
      </c>
      <c r="C45" s="187">
        <v>6100707.1299999999</v>
      </c>
      <c r="D45" s="187">
        <v>6015193.6299999999</v>
      </c>
      <c r="E45" s="188">
        <f t="shared" si="0"/>
        <v>-3.051847579941469E-2</v>
      </c>
      <c r="F45" s="189">
        <f t="shared" si="0"/>
        <v>-1.4016981667500539E-2</v>
      </c>
    </row>
    <row r="46" spans="1:6" ht="15" customHeight="1" x14ac:dyDescent="0.35">
      <c r="A46" s="171" t="s">
        <v>81</v>
      </c>
      <c r="B46" s="190">
        <v>11220</v>
      </c>
      <c r="C46" s="190">
        <v>2404772.5</v>
      </c>
      <c r="D46" s="190">
        <v>198062.68</v>
      </c>
      <c r="E46" s="191">
        <f t="shared" si="0"/>
        <v>213.32909982174689</v>
      </c>
      <c r="F46" s="192">
        <f t="shared" si="0"/>
        <v>-0.91763766426969706</v>
      </c>
    </row>
    <row r="47" spans="1:6" ht="15" customHeight="1" x14ac:dyDescent="0.35">
      <c r="A47" s="175" t="s">
        <v>82</v>
      </c>
      <c r="B47" s="193">
        <v>78084.289999999994</v>
      </c>
      <c r="C47" s="193">
        <v>62634.94</v>
      </c>
      <c r="D47" s="193">
        <v>111770.69</v>
      </c>
      <c r="E47" s="194">
        <f t="shared" si="0"/>
        <v>-0.19785477975147103</v>
      </c>
      <c r="F47" s="195">
        <f t="shared" si="0"/>
        <v>0.78447828001431796</v>
      </c>
    </row>
    <row r="48" spans="1:6" ht="15" customHeight="1" thickBot="1" x14ac:dyDescent="0.4">
      <c r="A48" s="90" t="s">
        <v>83</v>
      </c>
      <c r="B48" s="91">
        <v>6382056.6299999999</v>
      </c>
      <c r="C48" s="91">
        <v>8568114.5700000003</v>
      </c>
      <c r="D48" s="91">
        <v>6325027</v>
      </c>
      <c r="E48" s="92">
        <f t="shared" si="0"/>
        <v>0.34253189320258359</v>
      </c>
      <c r="F48" s="79">
        <f t="shared" si="0"/>
        <v>-0.26179476846094507</v>
      </c>
    </row>
    <row r="49" spans="1:7" s="3" customFormat="1" ht="15" customHeight="1" thickBot="1" x14ac:dyDescent="0.4">
      <c r="A49" s="96" t="s">
        <v>28</v>
      </c>
      <c r="B49" s="97">
        <f>B27+B28+B41+B42+B43+B44+B48</f>
        <v>69782937.419999987</v>
      </c>
      <c r="C49" s="97">
        <f>C27+C28+C41+C42+C43+C44+C48</f>
        <v>78146919.460000008</v>
      </c>
      <c r="D49" s="97">
        <f>D27+D28+D41+D42+D43+D44+D48</f>
        <v>83193094.959999993</v>
      </c>
      <c r="E49" s="98">
        <f t="shared" si="0"/>
        <v>0.1198571219445812</v>
      </c>
      <c r="F49" s="99">
        <f t="shared" si="0"/>
        <v>6.4572929232135756E-2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43329237.620000005</v>
      </c>
      <c r="C51" s="58">
        <f>+C11</f>
        <v>49084292.25</v>
      </c>
      <c r="D51" s="44">
        <f>+D11</f>
        <v>50759588.350000001</v>
      </c>
      <c r="E51" s="59">
        <f t="shared" si="0"/>
        <v>0.13282150681884053</v>
      </c>
      <c r="F51" s="28">
        <f t="shared" si="0"/>
        <v>3.413100246953249E-2</v>
      </c>
    </row>
    <row r="52" spans="1:7" ht="15" customHeight="1" x14ac:dyDescent="0.35">
      <c r="A52" s="40" t="s">
        <v>9</v>
      </c>
      <c r="B52" s="45">
        <f>+B28</f>
        <v>7062886.3499999987</v>
      </c>
      <c r="C52" s="49">
        <f>+C28</f>
        <v>7931690.7000000002</v>
      </c>
      <c r="D52" s="45">
        <f>+D28</f>
        <v>8899715.3599999994</v>
      </c>
      <c r="E52" s="53">
        <f t="shared" si="0"/>
        <v>0.12300981595151983</v>
      </c>
      <c r="F52" s="30">
        <f t="shared" si="0"/>
        <v>0.12204518514570917</v>
      </c>
    </row>
    <row r="53" spans="1:7" ht="15" customHeight="1" x14ac:dyDescent="0.35">
      <c r="A53" s="40" t="s">
        <v>10</v>
      </c>
      <c r="B53" s="45">
        <f>+B41</f>
        <v>26893033.609999999</v>
      </c>
      <c r="C53" s="49">
        <f>+C41</f>
        <v>29714267.469999999</v>
      </c>
      <c r="D53" s="45">
        <f>+D41</f>
        <v>30044014.800000004</v>
      </c>
      <c r="E53" s="53">
        <f t="shared" si="0"/>
        <v>0.10490574997648983</v>
      </c>
      <c r="F53" s="30">
        <f t="shared" si="0"/>
        <v>1.1097272727080387E-2</v>
      </c>
    </row>
    <row r="54" spans="1:7" s="3" customFormat="1" ht="15" customHeight="1" x14ac:dyDescent="0.35">
      <c r="A54" s="41" t="s">
        <v>11</v>
      </c>
      <c r="B54" s="46">
        <f>B51-B52-B53</f>
        <v>9373317.6600000039</v>
      </c>
      <c r="C54" s="50">
        <f t="shared" ref="C54:D54" si="6">C51-C52-C53</f>
        <v>11438334.079999998</v>
      </c>
      <c r="D54" s="46">
        <f t="shared" si="6"/>
        <v>11815858.189999998</v>
      </c>
      <c r="E54" s="54">
        <f t="shared" si="0"/>
        <v>0.22030795230725109</v>
      </c>
      <c r="F54" s="34">
        <f t="shared" si="0"/>
        <v>3.3005165556416305E-2</v>
      </c>
      <c r="G54" s="4"/>
    </row>
    <row r="55" spans="1:7" ht="15" customHeight="1" x14ac:dyDescent="0.35">
      <c r="A55" s="40" t="s">
        <v>12</v>
      </c>
      <c r="B55" s="45">
        <f>B15</f>
        <v>24248040.509999998</v>
      </c>
      <c r="C55" s="49">
        <f>C15</f>
        <v>27411850.470000003</v>
      </c>
      <c r="D55" s="45">
        <f>D15</f>
        <v>25389341.120000001</v>
      </c>
      <c r="E55" s="53">
        <f t="shared" si="0"/>
        <v>0.13047693312353359</v>
      </c>
      <c r="F55" s="30">
        <f t="shared" si="0"/>
        <v>-7.3782299090441539E-2</v>
      </c>
    </row>
    <row r="56" spans="1:7" ht="15" customHeight="1" x14ac:dyDescent="0.35">
      <c r="A56" s="40" t="s">
        <v>13</v>
      </c>
      <c r="B56" s="45">
        <f>B27</f>
        <v>26138532.989999998</v>
      </c>
      <c r="C56" s="49">
        <f>C27</f>
        <v>28197399.789999999</v>
      </c>
      <c r="D56" s="45">
        <f>D27</f>
        <v>29064387.34</v>
      </c>
      <c r="E56" s="53">
        <f t="shared" si="0"/>
        <v>7.8767496277915683E-2</v>
      </c>
      <c r="F56" s="30">
        <f t="shared" si="0"/>
        <v>3.0747074427319054E-2</v>
      </c>
    </row>
    <row r="57" spans="1:7" ht="15" customHeight="1" x14ac:dyDescent="0.35">
      <c r="A57" s="40" t="s">
        <v>14</v>
      </c>
      <c r="B57" s="45">
        <f>B42+B43</f>
        <v>2666001.58</v>
      </c>
      <c r="C57" s="49">
        <f t="shared" ref="C57:D57" si="7">C42+C43</f>
        <v>2481269.7400000002</v>
      </c>
      <c r="D57" s="45">
        <f t="shared" si="7"/>
        <v>7083191.2999999998</v>
      </c>
      <c r="E57" s="53">
        <f t="shared" si="0"/>
        <v>-6.9291721875123558E-2</v>
      </c>
      <c r="F57" s="30">
        <f t="shared" si="0"/>
        <v>1.8546639592678864</v>
      </c>
    </row>
    <row r="58" spans="1:7" s="3" customFormat="1" ht="15" customHeight="1" x14ac:dyDescent="0.35">
      <c r="A58" s="42" t="s">
        <v>15</v>
      </c>
      <c r="B58" s="47">
        <f>+B54+B55-B56-B57</f>
        <v>4816823.6000000034</v>
      </c>
      <c r="C58" s="51">
        <f>+C54+C55-C56-C57</f>
        <v>8171515.0199999977</v>
      </c>
      <c r="D58" s="47">
        <f t="shared" ref="D58" si="8">+D54+D55-D56-D57</f>
        <v>1057620.6700000027</v>
      </c>
      <c r="E58" s="55">
        <f t="shared" si="0"/>
        <v>0.69645303597997477</v>
      </c>
      <c r="F58" s="35">
        <f t="shared" si="0"/>
        <v>-0.87057226629193629</v>
      </c>
      <c r="G58" s="4"/>
    </row>
    <row r="59" spans="1:7" ht="15" customHeight="1" x14ac:dyDescent="0.35">
      <c r="A59" s="40" t="s">
        <v>16</v>
      </c>
      <c r="B59" s="45">
        <f t="shared" ref="B59:D60" si="9">B20</f>
        <v>6924800.9100000001</v>
      </c>
      <c r="C59" s="49">
        <f t="shared" si="9"/>
        <v>5277406.3499999996</v>
      </c>
      <c r="D59" s="45">
        <f t="shared" si="9"/>
        <v>9412414.0099999998</v>
      </c>
      <c r="E59" s="53">
        <f t="shared" si="0"/>
        <v>-0.23789775062284069</v>
      </c>
      <c r="F59" s="30">
        <f t="shared" si="0"/>
        <v>0.78353027714077772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6382056.6299999999</v>
      </c>
      <c r="C61" s="49">
        <f t="shared" ref="C61:D61" si="10">C48</f>
        <v>8568114.5700000003</v>
      </c>
      <c r="D61" s="45">
        <f t="shared" si="10"/>
        <v>6325027</v>
      </c>
      <c r="E61" s="53">
        <f t="shared" si="0"/>
        <v>0.34253189320258359</v>
      </c>
      <c r="F61" s="30">
        <f t="shared" si="0"/>
        <v>-0.26179476846094507</v>
      </c>
    </row>
    <row r="62" spans="1:7" ht="15" customHeight="1" x14ac:dyDescent="0.35">
      <c r="A62" s="40" t="s">
        <v>19</v>
      </c>
      <c r="B62" s="45">
        <f>B44</f>
        <v>640426.26</v>
      </c>
      <c r="C62" s="49">
        <f t="shared" ref="C62:D62" si="11">C44</f>
        <v>1254177.19</v>
      </c>
      <c r="D62" s="45">
        <f t="shared" si="11"/>
        <v>1776759.16</v>
      </c>
      <c r="E62" s="53">
        <f t="shared" si="0"/>
        <v>0.95834753871585443</v>
      </c>
      <c r="F62" s="30">
        <f t="shared" si="0"/>
        <v>0.41667315764210322</v>
      </c>
    </row>
    <row r="63" spans="1:7" s="3" customFormat="1" ht="15" customHeight="1" thickBot="1" x14ac:dyDescent="0.4">
      <c r="A63" s="43" t="s">
        <v>20</v>
      </c>
      <c r="B63" s="48">
        <f>B58+B59+B60-B61-B62</f>
        <v>4719141.6200000038</v>
      </c>
      <c r="C63" s="52">
        <f t="shared" ref="C63:D63" si="12">C58+C59+C60-C61-C62</f>
        <v>3626629.6099999971</v>
      </c>
      <c r="D63" s="48">
        <f t="shared" si="12"/>
        <v>2368248.5200000033</v>
      </c>
      <c r="E63" s="56">
        <f t="shared" si="0"/>
        <v>-0.23150651071158268</v>
      </c>
      <c r="F63" s="36">
        <f t="shared" si="0"/>
        <v>-0.34698362538323702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6292752.3399999999</v>
      </c>
      <c r="C65" s="26">
        <f t="shared" ref="C65:D65" si="13">C45</f>
        <v>6100707.1299999999</v>
      </c>
      <c r="D65" s="26">
        <f t="shared" si="13"/>
        <v>6015193.6299999999</v>
      </c>
      <c r="E65" s="27">
        <f t="shared" ref="E65:E66" si="14">+IF(ISBLANK(B65),"",+C65/B65-1)</f>
        <v>-3.051847579941469E-2</v>
      </c>
      <c r="F65" s="28">
        <f t="shared" ref="F65:F66" si="15">+IF(ISBLANK(C65),"",+D65/C65-1)</f>
        <v>-1.4016981667500539E-2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4667951.8099999996</v>
      </c>
      <c r="C66" s="19">
        <f t="shared" si="16"/>
        <v>4597665.08</v>
      </c>
      <c r="D66" s="19">
        <f t="shared" si="16"/>
        <v>8163638.6299999999</v>
      </c>
      <c r="E66" s="20">
        <f t="shared" si="14"/>
        <v>-1.5057295546502147E-2</v>
      </c>
      <c r="F66" s="30">
        <f t="shared" si="15"/>
        <v>0.77560533182638869</v>
      </c>
    </row>
    <row r="67" spans="1:6" ht="15" customHeight="1" thickBot="1" x14ac:dyDescent="0.4">
      <c r="A67" s="207" t="s">
        <v>85</v>
      </c>
      <c r="B67" s="208">
        <f>B65-B66</f>
        <v>1624800.5300000003</v>
      </c>
      <c r="C67" s="208">
        <f t="shared" ref="C67:D67" si="17">C65-C66</f>
        <v>1503042.0499999998</v>
      </c>
      <c r="D67" s="208">
        <f t="shared" si="17"/>
        <v>-2148445</v>
      </c>
      <c r="E67" s="209">
        <f>+IF(ISBLANK(B67),"",+C67/B67-1)</f>
        <v>-7.4937494019650774E-2</v>
      </c>
      <c r="F67" s="210">
        <f>+IF(ISBLANK(C67),"",+D67/C67-1)</f>
        <v>-2.4293978002811034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F2C9F-7629-4CE3-BFC3-6D3B2AF4658A}">
  <sheetPr>
    <tabColor theme="5" tint="0.79998168889431442"/>
    <pageSetUpPr fitToPage="1"/>
  </sheetPr>
  <dimension ref="A1:G72"/>
  <sheetViews>
    <sheetView topLeftCell="A10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49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31762170.84</v>
      </c>
      <c r="C6" s="102">
        <v>31832721.350000001</v>
      </c>
      <c r="D6" s="101">
        <v>32460099.48</v>
      </c>
      <c r="E6" s="103">
        <f>+IF(ISBLANK(B6),"",+C6/B6-1)</f>
        <v>2.2212118420807947E-3</v>
      </c>
      <c r="F6" s="104">
        <f>+IF(ISBLANK(C6),"",+D6/C6-1)</f>
        <v>1.9708592397803315E-2</v>
      </c>
    </row>
    <row r="7" spans="1:6" ht="15" customHeight="1" x14ac:dyDescent="0.35">
      <c r="A7" s="105" t="s">
        <v>2</v>
      </c>
      <c r="B7" s="106">
        <v>7041399.0300000003</v>
      </c>
      <c r="C7" s="107">
        <v>8255128.2400000002</v>
      </c>
      <c r="D7" s="106">
        <v>9140058.1500000004</v>
      </c>
      <c r="E7" s="108">
        <f t="shared" ref="E7:F63" si="0">+IF(ISBLANK(B7),"",+C7/B7-1)</f>
        <v>0.17237046286240654</v>
      </c>
      <c r="F7" s="109">
        <f t="shared" si="0"/>
        <v>0.10719759696912967</v>
      </c>
    </row>
    <row r="8" spans="1:6" ht="15" customHeight="1" x14ac:dyDescent="0.35">
      <c r="A8" s="105" t="s">
        <v>4</v>
      </c>
      <c r="B8" s="106">
        <v>555058.65</v>
      </c>
      <c r="C8" s="107">
        <v>778995.52</v>
      </c>
      <c r="D8" s="106">
        <f>949941.11+540</f>
        <v>950481.11</v>
      </c>
      <c r="E8" s="108">
        <f t="shared" si="0"/>
        <v>0.4034472212981457</v>
      </c>
      <c r="F8" s="109">
        <f t="shared" si="0"/>
        <v>0.22013681156985343</v>
      </c>
    </row>
    <row r="9" spans="1:6" ht="15" customHeight="1" x14ac:dyDescent="0.35">
      <c r="A9" s="105" t="s">
        <v>3</v>
      </c>
      <c r="B9" s="106">
        <v>537706.01</v>
      </c>
      <c r="C9" s="107">
        <v>576222.09</v>
      </c>
      <c r="D9" s="106">
        <v>465476.55</v>
      </c>
      <c r="E9" s="108">
        <f t="shared" si="0"/>
        <v>7.1630369167716701E-2</v>
      </c>
      <c r="F9" s="109">
        <f t="shared" si="0"/>
        <v>-0.19219245829329445</v>
      </c>
    </row>
    <row r="10" spans="1:6" ht="15" customHeight="1" x14ac:dyDescent="0.35">
      <c r="A10" s="110" t="s">
        <v>5</v>
      </c>
      <c r="B10" s="111">
        <f>479239.52+110535.3</f>
        <v>589774.82000000007</v>
      </c>
      <c r="C10" s="112">
        <f>1056497.2+113390.9</f>
        <v>1169888.0999999999</v>
      </c>
      <c r="D10" s="111">
        <f>484347.42+118575.2</f>
        <v>602922.62</v>
      </c>
      <c r="E10" s="113">
        <f t="shared" si="0"/>
        <v>0.98361825620157828</v>
      </c>
      <c r="F10" s="114">
        <f t="shared" si="0"/>
        <v>-0.48463223106551812</v>
      </c>
    </row>
    <row r="11" spans="1:6" s="3" customFormat="1" ht="15" customHeight="1" x14ac:dyDescent="0.35">
      <c r="A11" s="64" t="s">
        <v>62</v>
      </c>
      <c r="B11" s="67">
        <f>SUM(B6:B10)</f>
        <v>40486109.349999994</v>
      </c>
      <c r="C11" s="70">
        <f t="shared" ref="C11:D11" si="1">SUM(C6:C10)</f>
        <v>42612955.300000012</v>
      </c>
      <c r="D11" s="67">
        <f t="shared" si="1"/>
        <v>43619037.909999996</v>
      </c>
      <c r="E11" s="73">
        <f t="shared" si="0"/>
        <v>5.2532732439503294E-2</v>
      </c>
      <c r="F11" s="38">
        <f t="shared" si="0"/>
        <v>2.3609782586470507E-2</v>
      </c>
    </row>
    <row r="12" spans="1:6" ht="15" customHeight="1" x14ac:dyDescent="0.35">
      <c r="A12" s="115" t="s">
        <v>29</v>
      </c>
      <c r="B12" s="116">
        <v>18325714</v>
      </c>
      <c r="C12" s="117">
        <v>22000602</v>
      </c>
      <c r="D12" s="116">
        <v>22122225</v>
      </c>
      <c r="E12" s="118">
        <f t="shared" si="0"/>
        <v>0.20053177737031147</v>
      </c>
      <c r="F12" s="119">
        <f t="shared" si="0"/>
        <v>5.5281669110691656E-3</v>
      </c>
    </row>
    <row r="13" spans="1:6" ht="15" customHeight="1" x14ac:dyDescent="0.35">
      <c r="A13" s="105" t="s">
        <v>60</v>
      </c>
      <c r="B13" s="106">
        <v>916300.48</v>
      </c>
      <c r="C13" s="107">
        <v>1011531.02</v>
      </c>
      <c r="D13" s="106">
        <v>1022260.57</v>
      </c>
      <c r="E13" s="108">
        <f t="shared" si="0"/>
        <v>0.10392937914863909</v>
      </c>
      <c r="F13" s="109">
        <f t="shared" si="0"/>
        <v>1.0607237729595154E-2</v>
      </c>
    </row>
    <row r="14" spans="1:6" ht="15" customHeight="1" x14ac:dyDescent="0.35">
      <c r="A14" s="110" t="s">
        <v>61</v>
      </c>
      <c r="B14" s="111">
        <v>557998.26999999932</v>
      </c>
      <c r="C14" s="112">
        <v>817099.26000000117</v>
      </c>
      <c r="D14" s="111">
        <v>1077197.0199999984</v>
      </c>
      <c r="E14" s="113">
        <f t="shared" si="0"/>
        <v>0.46434013137711361</v>
      </c>
      <c r="F14" s="114">
        <f t="shared" si="0"/>
        <v>0.3183184378358106</v>
      </c>
    </row>
    <row r="15" spans="1:6" s="3" customFormat="1" ht="15" customHeight="1" x14ac:dyDescent="0.35">
      <c r="A15" s="64" t="s">
        <v>63</v>
      </c>
      <c r="B15" s="67">
        <f>SUM(B12:B14)</f>
        <v>19800012.75</v>
      </c>
      <c r="C15" s="70">
        <f t="shared" ref="C15:D15" si="2">SUM(C12:C14)</f>
        <v>23829232.280000001</v>
      </c>
      <c r="D15" s="67">
        <f t="shared" si="2"/>
        <v>24221682.59</v>
      </c>
      <c r="E15" s="73">
        <f t="shared" si="0"/>
        <v>0.20349580481962071</v>
      </c>
      <c r="F15" s="38">
        <f t="shared" si="0"/>
        <v>1.6469280478220938E-2</v>
      </c>
    </row>
    <row r="16" spans="1:6" s="11" customFormat="1" ht="15" customHeight="1" x14ac:dyDescent="0.35">
      <c r="A16" s="120" t="s">
        <v>74</v>
      </c>
      <c r="B16" s="121">
        <v>4616676.55</v>
      </c>
      <c r="C16" s="122">
        <v>4841636.1500000004</v>
      </c>
      <c r="D16" s="121">
        <v>5252371.55</v>
      </c>
      <c r="E16" s="123">
        <f t="shared" si="0"/>
        <v>4.872760687555644E-2</v>
      </c>
      <c r="F16" s="124">
        <f t="shared" si="0"/>
        <v>8.483400802433283E-2</v>
      </c>
    </row>
    <row r="17" spans="1:6" s="11" customFormat="1" ht="15" customHeight="1" x14ac:dyDescent="0.35">
      <c r="A17" s="125" t="s">
        <v>71</v>
      </c>
      <c r="B17" s="126">
        <v>50235</v>
      </c>
      <c r="C17" s="127">
        <v>193777.14</v>
      </c>
      <c r="D17" s="126">
        <v>117569.47</v>
      </c>
      <c r="E17" s="128">
        <f t="shared" si="0"/>
        <v>2.8574129590922666</v>
      </c>
      <c r="F17" s="129">
        <f t="shared" si="0"/>
        <v>-0.39327482075543074</v>
      </c>
    </row>
    <row r="18" spans="1:6" s="11" customFormat="1" ht="15" customHeight="1" x14ac:dyDescent="0.35">
      <c r="A18" s="125" t="s">
        <v>72</v>
      </c>
      <c r="B18" s="126">
        <v>1161322.1000000001</v>
      </c>
      <c r="C18" s="127">
        <v>100201.47</v>
      </c>
      <c r="D18" s="126">
        <v>41811.51</v>
      </c>
      <c r="E18" s="128">
        <f t="shared" si="0"/>
        <v>-0.91371776185091114</v>
      </c>
      <c r="F18" s="129">
        <f t="shared" si="0"/>
        <v>-0.58272558276839648</v>
      </c>
    </row>
    <row r="19" spans="1:6" s="11" customFormat="1" ht="15" customHeight="1" x14ac:dyDescent="0.35">
      <c r="A19" s="130" t="s">
        <v>73</v>
      </c>
      <c r="B19" s="131">
        <v>245586.07</v>
      </c>
      <c r="C19" s="132">
        <v>255864.95</v>
      </c>
      <c r="D19" s="131">
        <v>272636.55</v>
      </c>
      <c r="E19" s="133">
        <f t="shared" si="0"/>
        <v>4.1854491176962938E-2</v>
      </c>
      <c r="F19" s="134">
        <f t="shared" si="0"/>
        <v>6.554864196913246E-2</v>
      </c>
    </row>
    <row r="20" spans="1:6" ht="15" customHeight="1" x14ac:dyDescent="0.35">
      <c r="A20" s="65" t="s">
        <v>84</v>
      </c>
      <c r="B20" s="68">
        <f>SUM(B16:B19)</f>
        <v>6073819.7200000007</v>
      </c>
      <c r="C20" s="71">
        <f t="shared" ref="C20:D20" si="3">SUM(C16:C19)</f>
        <v>5391479.71</v>
      </c>
      <c r="D20" s="68">
        <f t="shared" si="3"/>
        <v>5684389.0799999991</v>
      </c>
      <c r="E20" s="74">
        <f t="shared" si="0"/>
        <v>-0.11234116938854433</v>
      </c>
      <c r="F20" s="32">
        <f t="shared" si="0"/>
        <v>5.4328196664955808E-2</v>
      </c>
    </row>
    <row r="21" spans="1:6" ht="15" customHeight="1" thickBot="1" x14ac:dyDescent="0.4">
      <c r="A21" s="75" t="s">
        <v>64</v>
      </c>
      <c r="B21" s="76">
        <v>18288.62</v>
      </c>
      <c r="C21" s="77"/>
      <c r="D21" s="76"/>
      <c r="E21" s="78">
        <f t="shared" si="0"/>
        <v>-1</v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66378230.43999999</v>
      </c>
      <c r="C22" s="87">
        <f>C11+C15+C20+C21</f>
        <v>71833667.290000007</v>
      </c>
      <c r="D22" s="86">
        <f>D11+D15+D20+D21</f>
        <v>73525109.579999998</v>
      </c>
      <c r="E22" s="88">
        <f t="shared" si="0"/>
        <v>8.2187138973691676E-2</v>
      </c>
      <c r="F22" s="89">
        <f t="shared" si="0"/>
        <v>2.3546650948105707E-2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16427178.74</v>
      </c>
      <c r="C24" s="155">
        <v>17373660.600000001</v>
      </c>
      <c r="D24" s="155">
        <v>18151404.919999998</v>
      </c>
      <c r="E24" s="156">
        <f t="shared" si="0"/>
        <v>5.7616823617760327E-2</v>
      </c>
      <c r="F24" s="104">
        <f t="shared" si="0"/>
        <v>4.4765713910630778E-2</v>
      </c>
    </row>
    <row r="25" spans="1:6" ht="15" customHeight="1" x14ac:dyDescent="0.35">
      <c r="A25" s="157" t="s">
        <v>40</v>
      </c>
      <c r="B25" s="158">
        <v>7774954.3700000001</v>
      </c>
      <c r="C25" s="158">
        <v>8191529.6100000003</v>
      </c>
      <c r="D25" s="158">
        <v>8570332.9100000001</v>
      </c>
      <c r="E25" s="159">
        <f t="shared" si="0"/>
        <v>5.3579123448926458E-2</v>
      </c>
      <c r="F25" s="109">
        <f t="shared" si="0"/>
        <v>4.6243292527144986E-2</v>
      </c>
    </row>
    <row r="26" spans="1:6" ht="15" customHeight="1" x14ac:dyDescent="0.35">
      <c r="A26" s="160" t="s">
        <v>41</v>
      </c>
      <c r="B26" s="161">
        <v>442280.64999999997</v>
      </c>
      <c r="C26" s="161">
        <v>417400</v>
      </c>
      <c r="D26" s="161">
        <v>506112.97000000003</v>
      </c>
      <c r="E26" s="162">
        <f t="shared" si="0"/>
        <v>-5.6255343750625242E-2</v>
      </c>
      <c r="F26" s="114">
        <f t="shared" si="0"/>
        <v>0.21253706276952578</v>
      </c>
    </row>
    <row r="27" spans="1:6" ht="15" customHeight="1" x14ac:dyDescent="0.35">
      <c r="A27" s="31" t="s">
        <v>65</v>
      </c>
      <c r="B27" s="23">
        <f>B24+B25+B26</f>
        <v>24644413.759999998</v>
      </c>
      <c r="C27" s="23">
        <f t="shared" ref="C27:D27" si="4">C24+C25+C26</f>
        <v>25982590.210000001</v>
      </c>
      <c r="D27" s="23">
        <f t="shared" si="4"/>
        <v>27227850.799999997</v>
      </c>
      <c r="E27" s="24">
        <f t="shared" si="0"/>
        <v>5.4299382530737184E-2</v>
      </c>
      <c r="F27" s="32">
        <f t="shared" si="0"/>
        <v>4.7926730165675613E-2</v>
      </c>
    </row>
    <row r="28" spans="1:6" ht="15" customHeight="1" x14ac:dyDescent="0.35">
      <c r="A28" s="33" t="s">
        <v>66</v>
      </c>
      <c r="B28" s="23">
        <v>6022827.080000001</v>
      </c>
      <c r="C28" s="23">
        <v>8089569.3500000006</v>
      </c>
      <c r="D28" s="23">
        <v>8753294.5</v>
      </c>
      <c r="E28" s="24">
        <f t="shared" si="0"/>
        <v>0.34315152046503705</v>
      </c>
      <c r="F28" s="32">
        <f t="shared" si="0"/>
        <v>8.2047031341662136E-2</v>
      </c>
    </row>
    <row r="29" spans="1:6" s="6" customFormat="1" ht="15" customHeight="1" x14ac:dyDescent="0.35">
      <c r="A29" s="182" t="s">
        <v>26</v>
      </c>
      <c r="B29" s="183">
        <v>5112335.3500000006</v>
      </c>
      <c r="C29" s="183">
        <v>7020322.6200000001</v>
      </c>
      <c r="D29" s="183">
        <v>7791113.8099999996</v>
      </c>
      <c r="E29" s="184">
        <f t="shared" si="0"/>
        <v>0.37321246345860293</v>
      </c>
      <c r="F29" s="185">
        <f t="shared" si="0"/>
        <v>0.10979426897050493</v>
      </c>
    </row>
    <row r="30" spans="1:6" s="163" customFormat="1" ht="15" customHeight="1" x14ac:dyDescent="0.35">
      <c r="A30" s="171" t="s">
        <v>76</v>
      </c>
      <c r="B30" s="172">
        <f>SUM(B31:B36)</f>
        <v>5113949.6100000003</v>
      </c>
      <c r="C30" s="172">
        <f t="shared" ref="C30:D30" si="5">SUM(C31:C36)</f>
        <v>7496689.29</v>
      </c>
      <c r="D30" s="172">
        <f t="shared" si="5"/>
        <v>6539271.4500000002</v>
      </c>
      <c r="E30" s="169">
        <f t="shared" si="0"/>
        <v>0.46592944039587425</v>
      </c>
      <c r="F30" s="170">
        <f t="shared" si="0"/>
        <v>-0.12771208769144549</v>
      </c>
    </row>
    <row r="31" spans="1:6" s="9" customFormat="1" ht="15" customHeight="1" x14ac:dyDescent="0.35">
      <c r="A31" s="165" t="s">
        <v>21</v>
      </c>
      <c r="B31" s="166">
        <v>2457742.19</v>
      </c>
      <c r="C31" s="166">
        <v>3868539.08</v>
      </c>
      <c r="D31" s="166">
        <v>2886198.18</v>
      </c>
      <c r="E31" s="167">
        <f t="shared" si="0"/>
        <v>0.57402151280968994</v>
      </c>
      <c r="F31" s="168">
        <f t="shared" si="0"/>
        <v>-0.25393071639850151</v>
      </c>
    </row>
    <row r="32" spans="1:6" s="9" customFormat="1" ht="15" customHeight="1" x14ac:dyDescent="0.35">
      <c r="A32" s="165" t="s">
        <v>22</v>
      </c>
      <c r="B32" s="166">
        <v>80625.039999999994</v>
      </c>
      <c r="C32" s="166">
        <v>45618.26</v>
      </c>
      <c r="D32" s="166">
        <v>50165.43</v>
      </c>
      <c r="E32" s="167">
        <f t="shared" si="0"/>
        <v>-0.43419240474175258</v>
      </c>
      <c r="F32" s="168">
        <f t="shared" si="0"/>
        <v>9.9678725142081204E-2</v>
      </c>
    </row>
    <row r="33" spans="1:6" s="9" customFormat="1" ht="15" customHeight="1" x14ac:dyDescent="0.35">
      <c r="A33" s="165" t="s">
        <v>23</v>
      </c>
      <c r="B33" s="166">
        <v>997762.22</v>
      </c>
      <c r="C33" s="166">
        <v>1987253.06</v>
      </c>
      <c r="D33" s="166">
        <v>1948392.45</v>
      </c>
      <c r="E33" s="167">
        <f t="shared" si="0"/>
        <v>0.99171006895811309</v>
      </c>
      <c r="F33" s="168">
        <f t="shared" si="0"/>
        <v>-1.9554937809480588E-2</v>
      </c>
    </row>
    <row r="34" spans="1:6" s="9" customFormat="1" ht="15" customHeight="1" x14ac:dyDescent="0.35">
      <c r="A34" s="165" t="s">
        <v>24</v>
      </c>
      <c r="B34" s="166">
        <v>115448.08</v>
      </c>
      <c r="C34" s="166">
        <v>105561.72</v>
      </c>
      <c r="D34" s="166">
        <v>120700.01</v>
      </c>
      <c r="E34" s="167">
        <f t="shared" si="0"/>
        <v>-8.5634685306156699E-2</v>
      </c>
      <c r="F34" s="168">
        <f t="shared" si="0"/>
        <v>0.14340700397833595</v>
      </c>
    </row>
    <row r="35" spans="1:6" s="9" customFormat="1" ht="15" customHeight="1" x14ac:dyDescent="0.35">
      <c r="A35" s="165" t="s">
        <v>25</v>
      </c>
      <c r="B35" s="166">
        <v>1462372.08</v>
      </c>
      <c r="C35" s="166">
        <v>1489717.17</v>
      </c>
      <c r="D35" s="166">
        <v>1533815.38</v>
      </c>
      <c r="E35" s="167">
        <f t="shared" si="0"/>
        <v>1.8699132986729206E-2</v>
      </c>
      <c r="F35" s="168">
        <f t="shared" si="0"/>
        <v>2.9601733059168467E-2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6506052.8100000005</v>
      </c>
      <c r="C37" s="172">
        <v>7239164.4800000004</v>
      </c>
      <c r="D37" s="172">
        <v>6968706.5299999993</v>
      </c>
      <c r="E37" s="169">
        <f t="shared" si="0"/>
        <v>0.11268148160020841</v>
      </c>
      <c r="F37" s="170">
        <f t="shared" si="0"/>
        <v>-3.7360381953913113E-2</v>
      </c>
    </row>
    <row r="38" spans="1:6" s="7" customFormat="1" ht="15" customHeight="1" x14ac:dyDescent="0.35">
      <c r="A38" s="173" t="s">
        <v>70</v>
      </c>
      <c r="B38" s="174">
        <v>5524530.04</v>
      </c>
      <c r="C38" s="174">
        <v>5971712.04</v>
      </c>
      <c r="D38" s="174">
        <v>5915510.5</v>
      </c>
      <c r="E38" s="169">
        <f t="shared" si="0"/>
        <v>8.0944803768322027E-2</v>
      </c>
      <c r="F38" s="170">
        <f t="shared" si="0"/>
        <v>-9.4112943865257703E-3</v>
      </c>
    </row>
    <row r="39" spans="1:6" s="10" customFormat="1" ht="15" customHeight="1" x14ac:dyDescent="0.35">
      <c r="A39" s="171" t="s">
        <v>78</v>
      </c>
      <c r="B39" s="172">
        <v>3385920.5300000003</v>
      </c>
      <c r="C39" s="172">
        <v>2554869.09</v>
      </c>
      <c r="D39" s="172">
        <v>2881805.67</v>
      </c>
      <c r="E39" s="169">
        <f t="shared" si="0"/>
        <v>-0.2454432797925119</v>
      </c>
      <c r="F39" s="170">
        <f t="shared" si="0"/>
        <v>0.12796607907609081</v>
      </c>
    </row>
    <row r="40" spans="1:6" s="10" customFormat="1" ht="15" customHeight="1" x14ac:dyDescent="0.35">
      <c r="A40" s="175" t="s">
        <v>79</v>
      </c>
      <c r="B40" s="176">
        <v>4791592.1899999995</v>
      </c>
      <c r="C40" s="176">
        <v>4938869.2899999982</v>
      </c>
      <c r="D40" s="176">
        <v>5775988.5599999977</v>
      </c>
      <c r="E40" s="177">
        <f t="shared" si="0"/>
        <v>3.073656817192516E-2</v>
      </c>
      <c r="F40" s="178">
        <f t="shared" si="0"/>
        <v>0.16949613784980322</v>
      </c>
    </row>
    <row r="41" spans="1:6" ht="15" customHeight="1" x14ac:dyDescent="0.35">
      <c r="A41" s="31" t="s">
        <v>75</v>
      </c>
      <c r="B41" s="23">
        <f>+B30+B37+B39+B40</f>
        <v>19797515.140000001</v>
      </c>
      <c r="C41" s="23">
        <f>+C30+C37+C39+C40</f>
        <v>22229592.149999999</v>
      </c>
      <c r="D41" s="23">
        <f>+D30+D37+D39+D40</f>
        <v>22165772.209999997</v>
      </c>
      <c r="E41" s="24">
        <f t="shared" si="0"/>
        <v>0.12284758934650819</v>
      </c>
      <c r="F41" s="32">
        <f t="shared" si="0"/>
        <v>-2.8709451603682323E-3</v>
      </c>
    </row>
    <row r="42" spans="1:6" ht="15" customHeight="1" x14ac:dyDescent="0.35">
      <c r="A42" s="33" t="s">
        <v>67</v>
      </c>
      <c r="B42" s="23">
        <v>3598981.81</v>
      </c>
      <c r="C42" s="23">
        <v>2399295.7800000003</v>
      </c>
      <c r="D42" s="23">
        <v>2510959.1800000002</v>
      </c>
      <c r="E42" s="24">
        <f t="shared" si="0"/>
        <v>-0.33334039829448314</v>
      </c>
      <c r="F42" s="32">
        <f t="shared" si="0"/>
        <v>4.6540072687494938E-2</v>
      </c>
    </row>
    <row r="43" spans="1:6" ht="15" customHeight="1" x14ac:dyDescent="0.35">
      <c r="A43" s="33" t="s">
        <v>68</v>
      </c>
      <c r="B43" s="23"/>
      <c r="C43" s="23"/>
      <c r="D43" s="23"/>
      <c r="E43" s="24" t="str">
        <f t="shared" si="0"/>
        <v/>
      </c>
      <c r="F43" s="32" t="str">
        <f t="shared" si="0"/>
        <v/>
      </c>
    </row>
    <row r="44" spans="1:6" ht="15" customHeight="1" x14ac:dyDescent="0.35">
      <c r="A44" s="33" t="s">
        <v>69</v>
      </c>
      <c r="B44" s="23">
        <v>402671.71</v>
      </c>
      <c r="C44" s="23">
        <v>553516.61</v>
      </c>
      <c r="D44" s="23">
        <v>1068285.32</v>
      </c>
      <c r="E44" s="24">
        <f t="shared" si="0"/>
        <v>0.37461012595098864</v>
      </c>
      <c r="F44" s="32">
        <f t="shared" si="0"/>
        <v>0.92999686134080073</v>
      </c>
    </row>
    <row r="45" spans="1:6" ht="15" customHeight="1" x14ac:dyDescent="0.35">
      <c r="A45" s="186" t="s">
        <v>80</v>
      </c>
      <c r="B45" s="187">
        <v>7406762.3499999996</v>
      </c>
      <c r="C45" s="187">
        <v>8793652.2899999991</v>
      </c>
      <c r="D45" s="187">
        <v>9056813.0800000001</v>
      </c>
      <c r="E45" s="188">
        <f t="shared" si="0"/>
        <v>0.18724644783560529</v>
      </c>
      <c r="F45" s="189">
        <f t="shared" si="0"/>
        <v>2.9926221929341468E-2</v>
      </c>
    </row>
    <row r="46" spans="1:6" ht="15" customHeight="1" x14ac:dyDescent="0.35">
      <c r="A46" s="171" t="s">
        <v>81</v>
      </c>
      <c r="B46" s="190">
        <v>366780</v>
      </c>
      <c r="C46" s="190">
        <v>394478</v>
      </c>
      <c r="D46" s="190">
        <v>206293.2</v>
      </c>
      <c r="E46" s="191">
        <f t="shared" si="0"/>
        <v>7.5516658487376542E-2</v>
      </c>
      <c r="F46" s="192">
        <f t="shared" si="0"/>
        <v>-0.47704764270757805</v>
      </c>
    </row>
    <row r="47" spans="1:6" ht="15" customHeight="1" x14ac:dyDescent="0.35">
      <c r="A47" s="175" t="s">
        <v>82</v>
      </c>
      <c r="B47" s="193">
        <v>100201.47</v>
      </c>
      <c r="C47" s="193">
        <v>937456.62</v>
      </c>
      <c r="D47" s="193">
        <v>74906.95</v>
      </c>
      <c r="E47" s="194">
        <f t="shared" si="0"/>
        <v>8.3557172364836561</v>
      </c>
      <c r="F47" s="195">
        <f t="shared" si="0"/>
        <v>-0.92009555599490034</v>
      </c>
    </row>
    <row r="48" spans="1:6" ht="15" customHeight="1" thickBot="1" x14ac:dyDescent="0.4">
      <c r="A48" s="90" t="s">
        <v>83</v>
      </c>
      <c r="B48" s="91">
        <v>7873743.8200000003</v>
      </c>
      <c r="C48" s="91">
        <v>10125586.91</v>
      </c>
      <c r="D48" s="91">
        <v>9338013.2300000004</v>
      </c>
      <c r="E48" s="92">
        <f t="shared" si="0"/>
        <v>0.28599394919099619</v>
      </c>
      <c r="F48" s="79">
        <f t="shared" si="0"/>
        <v>-7.7780546155027719E-2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62340153.320000008</v>
      </c>
      <c r="C49" s="97">
        <f>C27+C28+C41+C42+C43+C44+C48</f>
        <v>69380151.010000005</v>
      </c>
      <c r="D49" s="97">
        <f>D27+D28+D41+D42+D43+D44+D48</f>
        <v>71064175.239999995</v>
      </c>
      <c r="E49" s="98">
        <f t="shared" si="0"/>
        <v>0.11292878369841008</v>
      </c>
      <c r="F49" s="99">
        <f t="shared" si="0"/>
        <v>2.4272420937182293E-2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40486109.349999994</v>
      </c>
      <c r="C51" s="58">
        <f>+C11</f>
        <v>42612955.300000012</v>
      </c>
      <c r="D51" s="44">
        <f>+D11</f>
        <v>43619037.909999996</v>
      </c>
      <c r="E51" s="59">
        <f t="shared" si="0"/>
        <v>5.2532732439503294E-2</v>
      </c>
      <c r="F51" s="28">
        <f t="shared" si="0"/>
        <v>2.3609782586470507E-2</v>
      </c>
    </row>
    <row r="52" spans="1:7" ht="15" customHeight="1" x14ac:dyDescent="0.35">
      <c r="A52" s="40" t="s">
        <v>9</v>
      </c>
      <c r="B52" s="45">
        <f>+B28</f>
        <v>6022827.080000001</v>
      </c>
      <c r="C52" s="49">
        <f>+C28</f>
        <v>8089569.3500000006</v>
      </c>
      <c r="D52" s="45">
        <f>+D28</f>
        <v>8753294.5</v>
      </c>
      <c r="E52" s="53">
        <f t="shared" si="0"/>
        <v>0.34315152046503705</v>
      </c>
      <c r="F52" s="30">
        <f t="shared" si="0"/>
        <v>8.2047031341662136E-2</v>
      </c>
    </row>
    <row r="53" spans="1:7" ht="15" customHeight="1" x14ac:dyDescent="0.35">
      <c r="A53" s="40" t="s">
        <v>10</v>
      </c>
      <c r="B53" s="45">
        <f>+B41</f>
        <v>19797515.140000001</v>
      </c>
      <c r="C53" s="49">
        <f>+C41</f>
        <v>22229592.149999999</v>
      </c>
      <c r="D53" s="45">
        <f>+D41</f>
        <v>22165772.209999997</v>
      </c>
      <c r="E53" s="53">
        <f t="shared" si="0"/>
        <v>0.12284758934650819</v>
      </c>
      <c r="F53" s="30">
        <f t="shared" si="0"/>
        <v>-2.8709451603682323E-3</v>
      </c>
    </row>
    <row r="54" spans="1:7" s="3" customFormat="1" ht="15" customHeight="1" x14ac:dyDescent="0.35">
      <c r="A54" s="41" t="s">
        <v>11</v>
      </c>
      <c r="B54" s="46">
        <f>B51-B52-B53</f>
        <v>14665767.129999995</v>
      </c>
      <c r="C54" s="50">
        <f t="shared" ref="C54:D54" si="6">C51-C52-C53</f>
        <v>12293793.800000012</v>
      </c>
      <c r="D54" s="46">
        <f t="shared" si="6"/>
        <v>12699971.199999999</v>
      </c>
      <c r="E54" s="54">
        <f t="shared" si="0"/>
        <v>-0.16173537387948311</v>
      </c>
      <c r="F54" s="34">
        <f t="shared" si="0"/>
        <v>3.3039223416939656E-2</v>
      </c>
      <c r="G54" s="4"/>
    </row>
    <row r="55" spans="1:7" ht="15" customHeight="1" x14ac:dyDescent="0.35">
      <c r="A55" s="40" t="s">
        <v>12</v>
      </c>
      <c r="B55" s="45">
        <f>B15</f>
        <v>19800012.75</v>
      </c>
      <c r="C55" s="49">
        <f>C15</f>
        <v>23829232.280000001</v>
      </c>
      <c r="D55" s="45">
        <f>D15</f>
        <v>24221682.59</v>
      </c>
      <c r="E55" s="53">
        <f t="shared" si="0"/>
        <v>0.20349580481962071</v>
      </c>
      <c r="F55" s="30">
        <f t="shared" si="0"/>
        <v>1.6469280478220938E-2</v>
      </c>
    </row>
    <row r="56" spans="1:7" ht="15" customHeight="1" x14ac:dyDescent="0.35">
      <c r="A56" s="40" t="s">
        <v>13</v>
      </c>
      <c r="B56" s="45">
        <f>B27</f>
        <v>24644413.759999998</v>
      </c>
      <c r="C56" s="49">
        <f>C27</f>
        <v>25982590.210000001</v>
      </c>
      <c r="D56" s="45">
        <f>D27</f>
        <v>27227850.799999997</v>
      </c>
      <c r="E56" s="53">
        <f t="shared" si="0"/>
        <v>5.4299382530737184E-2</v>
      </c>
      <c r="F56" s="30">
        <f t="shared" si="0"/>
        <v>4.7926730165675613E-2</v>
      </c>
    </row>
    <row r="57" spans="1:7" ht="15" customHeight="1" x14ac:dyDescent="0.35">
      <c r="A57" s="40" t="s">
        <v>14</v>
      </c>
      <c r="B57" s="45">
        <f>B42+B43</f>
        <v>3598981.81</v>
      </c>
      <c r="C57" s="49">
        <f t="shared" ref="C57:D57" si="7">C42+C43</f>
        <v>2399295.7800000003</v>
      </c>
      <c r="D57" s="45">
        <f t="shared" si="7"/>
        <v>2510959.1800000002</v>
      </c>
      <c r="E57" s="53">
        <f t="shared" si="0"/>
        <v>-0.33334039829448314</v>
      </c>
      <c r="F57" s="30">
        <f t="shared" si="0"/>
        <v>4.6540072687494938E-2</v>
      </c>
    </row>
    <row r="58" spans="1:7" s="3" customFormat="1" ht="15" customHeight="1" x14ac:dyDescent="0.35">
      <c r="A58" s="42" t="s">
        <v>15</v>
      </c>
      <c r="B58" s="47">
        <f>+B54+B55-B56-B57</f>
        <v>6222384.3099999968</v>
      </c>
      <c r="C58" s="51">
        <f>+C54+C55-C56-C57</f>
        <v>7741140.090000012</v>
      </c>
      <c r="D58" s="47">
        <f t="shared" ref="D58" si="8">+D54+D55-D56-D57</f>
        <v>7182843.8100000024</v>
      </c>
      <c r="E58" s="55">
        <f t="shared" si="0"/>
        <v>0.24407939213256591</v>
      </c>
      <c r="F58" s="35">
        <f t="shared" si="0"/>
        <v>-7.2120679061371762E-2</v>
      </c>
      <c r="G58" s="4"/>
    </row>
    <row r="59" spans="1:7" ht="15" customHeight="1" x14ac:dyDescent="0.35">
      <c r="A59" s="40" t="s">
        <v>16</v>
      </c>
      <c r="B59" s="45">
        <f t="shared" ref="B59:D60" si="9">B20</f>
        <v>6073819.7200000007</v>
      </c>
      <c r="C59" s="49">
        <f t="shared" si="9"/>
        <v>5391479.71</v>
      </c>
      <c r="D59" s="45">
        <f t="shared" si="9"/>
        <v>5684389.0799999991</v>
      </c>
      <c r="E59" s="53">
        <f t="shared" si="0"/>
        <v>-0.11234116938854433</v>
      </c>
      <c r="F59" s="30">
        <f t="shared" si="0"/>
        <v>5.4328196664955808E-2</v>
      </c>
    </row>
    <row r="60" spans="1:7" ht="15" customHeight="1" x14ac:dyDescent="0.35">
      <c r="A60" s="40" t="s">
        <v>17</v>
      </c>
      <c r="B60" s="45">
        <f t="shared" si="9"/>
        <v>18288.62</v>
      </c>
      <c r="C60" s="49">
        <f t="shared" si="9"/>
        <v>0</v>
      </c>
      <c r="D60" s="45">
        <f t="shared" si="9"/>
        <v>0</v>
      </c>
      <c r="E60" s="53">
        <f t="shared" si="0"/>
        <v>-1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7873743.8200000003</v>
      </c>
      <c r="C61" s="49">
        <f t="shared" ref="C61:D61" si="10">C48</f>
        <v>10125586.91</v>
      </c>
      <c r="D61" s="45">
        <f t="shared" si="10"/>
        <v>9338013.2300000004</v>
      </c>
      <c r="E61" s="53">
        <f t="shared" si="0"/>
        <v>0.28599394919099619</v>
      </c>
      <c r="F61" s="30">
        <f t="shared" si="0"/>
        <v>-7.7780546155027719E-2</v>
      </c>
    </row>
    <row r="62" spans="1:7" ht="15" customHeight="1" x14ac:dyDescent="0.35">
      <c r="A62" s="40" t="s">
        <v>19</v>
      </c>
      <c r="B62" s="45">
        <f>B44</f>
        <v>402671.71</v>
      </c>
      <c r="C62" s="49">
        <f t="shared" ref="C62:D62" si="11">C44</f>
        <v>553516.61</v>
      </c>
      <c r="D62" s="45">
        <f t="shared" si="11"/>
        <v>1068285.32</v>
      </c>
      <c r="E62" s="53">
        <f t="shared" si="0"/>
        <v>0.37461012595098864</v>
      </c>
      <c r="F62" s="30">
        <f t="shared" si="0"/>
        <v>0.92999686134080073</v>
      </c>
    </row>
    <row r="63" spans="1:7" s="3" customFormat="1" ht="15" customHeight="1" thickBot="1" x14ac:dyDescent="0.4">
      <c r="A63" s="43" t="s">
        <v>20</v>
      </c>
      <c r="B63" s="48">
        <f>B58+B59+B60-B61-B62</f>
        <v>4038077.1199999964</v>
      </c>
      <c r="C63" s="52">
        <f t="shared" ref="C63:D63" si="12">C58+C59+C60-C61-C62</f>
        <v>2453516.2800000119</v>
      </c>
      <c r="D63" s="48">
        <f t="shared" si="12"/>
        <v>2460934.34</v>
      </c>
      <c r="E63" s="56">
        <f t="shared" si="0"/>
        <v>-0.39240479884643364</v>
      </c>
      <c r="F63" s="36">
        <f t="shared" si="0"/>
        <v>3.023440300949698E-3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7406762.3499999996</v>
      </c>
      <c r="C65" s="26">
        <f t="shared" ref="C65:D65" si="13">C45</f>
        <v>8793652.2899999991</v>
      </c>
      <c r="D65" s="26">
        <f t="shared" si="13"/>
        <v>9056813.0800000001</v>
      </c>
      <c r="E65" s="27">
        <f t="shared" ref="E65:E66" si="14">+IF(ISBLANK(B65),"",+C65/B65-1)</f>
        <v>0.18724644783560529</v>
      </c>
      <c r="F65" s="28">
        <f t="shared" ref="F65:F66" si="15">+IF(ISBLANK(C65),"",+D65/C65-1)</f>
        <v>2.9926221929341468E-2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4616676.55</v>
      </c>
      <c r="C66" s="19">
        <f t="shared" si="16"/>
        <v>4841636.1500000004</v>
      </c>
      <c r="D66" s="19">
        <f t="shared" si="16"/>
        <v>5252371.55</v>
      </c>
      <c r="E66" s="20">
        <f t="shared" si="14"/>
        <v>4.872760687555644E-2</v>
      </c>
      <c r="F66" s="30">
        <f t="shared" si="15"/>
        <v>8.483400802433283E-2</v>
      </c>
    </row>
    <row r="67" spans="1:6" ht="15" customHeight="1" thickBot="1" x14ac:dyDescent="0.4">
      <c r="A67" s="207" t="s">
        <v>85</v>
      </c>
      <c r="B67" s="208">
        <f>B65-B66</f>
        <v>2790085.8</v>
      </c>
      <c r="C67" s="208">
        <f t="shared" ref="C67:D67" si="17">C65-C66</f>
        <v>3952016.1399999987</v>
      </c>
      <c r="D67" s="208">
        <f t="shared" si="17"/>
        <v>3804441.5300000003</v>
      </c>
      <c r="E67" s="209">
        <f>+IF(ISBLANK(B67),"",+C67/B67-1)</f>
        <v>0.41644968050803266</v>
      </c>
      <c r="F67" s="210">
        <f>+IF(ISBLANK(C67),"",+D67/C67-1)</f>
        <v>-3.7341601039108774E-2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FD40C-B419-495B-BC9B-3566FF84255A}">
  <sheetPr>
    <tabColor theme="5" tint="0.79998168889431442"/>
    <pageSetUpPr fitToPage="1"/>
  </sheetPr>
  <dimension ref="A1:G72"/>
  <sheetViews>
    <sheetView topLeftCell="A9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45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26893751.18</v>
      </c>
      <c r="C6" s="102">
        <v>27371141.66</v>
      </c>
      <c r="D6" s="101">
        <v>28824003.170000002</v>
      </c>
      <c r="E6" s="103">
        <f>+IF(ISBLANK(B6),"",+C6/B6-1)</f>
        <v>1.7750981512576036E-2</v>
      </c>
      <c r="F6" s="104">
        <f>+IF(ISBLANK(C6),"",+D6/C6-1)</f>
        <v>5.3080047885733839E-2</v>
      </c>
    </row>
    <row r="7" spans="1:6" ht="15" customHeight="1" x14ac:dyDescent="0.35">
      <c r="A7" s="105" t="s">
        <v>2</v>
      </c>
      <c r="B7" s="106">
        <v>9793021.9600000009</v>
      </c>
      <c r="C7" s="107">
        <v>10586508.08</v>
      </c>
      <c r="D7" s="106">
        <v>10953315.220000001</v>
      </c>
      <c r="E7" s="108">
        <f t="shared" ref="E7:F63" si="0">+IF(ISBLANK(B7),"",+C7/B7-1)</f>
        <v>8.102566534018063E-2</v>
      </c>
      <c r="F7" s="109">
        <f t="shared" si="0"/>
        <v>3.4648548626999176E-2</v>
      </c>
    </row>
    <row r="8" spans="1:6" ht="15" customHeight="1" x14ac:dyDescent="0.35">
      <c r="A8" s="105" t="s">
        <v>4</v>
      </c>
      <c r="B8" s="106">
        <v>40842.199999999997</v>
      </c>
      <c r="C8" s="107">
        <f>324218.6+210</f>
        <v>324428.59999999998</v>
      </c>
      <c r="D8" s="106">
        <f>344208.23+667</f>
        <v>344875.23</v>
      </c>
      <c r="E8" s="108">
        <f t="shared" si="0"/>
        <v>6.9434653373226709</v>
      </c>
      <c r="F8" s="109">
        <f t="shared" si="0"/>
        <v>6.3023512723600739E-2</v>
      </c>
    </row>
    <row r="9" spans="1:6" ht="15" customHeight="1" x14ac:dyDescent="0.35">
      <c r="A9" s="105" t="s">
        <v>3</v>
      </c>
      <c r="B9" s="106">
        <v>587842.77</v>
      </c>
      <c r="C9" s="107">
        <v>367237.24</v>
      </c>
      <c r="D9" s="106">
        <v>65288.19</v>
      </c>
      <c r="E9" s="108">
        <f t="shared" si="0"/>
        <v>-0.37527982184760056</v>
      </c>
      <c r="F9" s="109">
        <f t="shared" si="0"/>
        <v>-0.82221794826690231</v>
      </c>
    </row>
    <row r="10" spans="1:6" ht="15" customHeight="1" x14ac:dyDescent="0.35">
      <c r="A10" s="110" t="s">
        <v>5</v>
      </c>
      <c r="B10" s="111">
        <v>505603.45</v>
      </c>
      <c r="C10" s="112">
        <v>679646.89</v>
      </c>
      <c r="D10" s="111">
        <v>793671.1</v>
      </c>
      <c r="E10" s="113">
        <f t="shared" si="0"/>
        <v>0.34422913846810177</v>
      </c>
      <c r="F10" s="114">
        <f t="shared" si="0"/>
        <v>0.16776978115797747</v>
      </c>
    </row>
    <row r="11" spans="1:6" s="3" customFormat="1" ht="15" customHeight="1" x14ac:dyDescent="0.35">
      <c r="A11" s="64" t="s">
        <v>62</v>
      </c>
      <c r="B11" s="67">
        <f>SUM(B6:B10)</f>
        <v>37821061.56000001</v>
      </c>
      <c r="C11" s="70">
        <f t="shared" ref="C11:D11" si="1">SUM(C6:C10)</f>
        <v>39328962.470000006</v>
      </c>
      <c r="D11" s="67">
        <f t="shared" si="1"/>
        <v>40981152.909999996</v>
      </c>
      <c r="E11" s="73">
        <f t="shared" si="0"/>
        <v>3.9869343900033938E-2</v>
      </c>
      <c r="F11" s="38">
        <f t="shared" si="0"/>
        <v>4.2009509944745504E-2</v>
      </c>
    </row>
    <row r="12" spans="1:6" ht="15" customHeight="1" x14ac:dyDescent="0.35">
      <c r="A12" s="115" t="s">
        <v>29</v>
      </c>
      <c r="B12" s="116">
        <v>21168276</v>
      </c>
      <c r="C12" s="117">
        <v>24299750</v>
      </c>
      <c r="D12" s="116">
        <v>25216363</v>
      </c>
      <c r="E12" s="118">
        <f t="shared" si="0"/>
        <v>0.14793240602116109</v>
      </c>
      <c r="F12" s="119">
        <f t="shared" si="0"/>
        <v>3.7721087665510966E-2</v>
      </c>
    </row>
    <row r="13" spans="1:6" ht="15" customHeight="1" x14ac:dyDescent="0.35">
      <c r="A13" s="105" t="s">
        <v>60</v>
      </c>
      <c r="B13" s="106">
        <v>1221152.08</v>
      </c>
      <c r="C13" s="107">
        <v>1344448.2</v>
      </c>
      <c r="D13" s="106">
        <v>1378148.83</v>
      </c>
      <c r="E13" s="108">
        <f t="shared" si="0"/>
        <v>0.10096704744588392</v>
      </c>
      <c r="F13" s="109">
        <f t="shared" si="0"/>
        <v>2.5066514277009899E-2</v>
      </c>
    </row>
    <row r="14" spans="1:6" ht="15" customHeight="1" x14ac:dyDescent="0.35">
      <c r="A14" s="110" t="s">
        <v>61</v>
      </c>
      <c r="B14" s="111">
        <v>302191.22999999911</v>
      </c>
      <c r="C14" s="112">
        <v>921486.87999999966</v>
      </c>
      <c r="D14" s="111">
        <v>371326.17999999982</v>
      </c>
      <c r="E14" s="113">
        <f t="shared" si="0"/>
        <v>2.0493501747221532</v>
      </c>
      <c r="F14" s="114">
        <f t="shared" si="0"/>
        <v>-0.59703584710831703</v>
      </c>
    </row>
    <row r="15" spans="1:6" s="3" customFormat="1" ht="15" customHeight="1" x14ac:dyDescent="0.35">
      <c r="A15" s="64" t="s">
        <v>63</v>
      </c>
      <c r="B15" s="67">
        <f>SUM(B12:B14)</f>
        <v>22691619.309999999</v>
      </c>
      <c r="C15" s="70">
        <f t="shared" ref="C15:D15" si="2">SUM(C12:C14)</f>
        <v>26565685.079999998</v>
      </c>
      <c r="D15" s="67">
        <f t="shared" si="2"/>
        <v>26965838.009999998</v>
      </c>
      <c r="E15" s="73">
        <f t="shared" si="0"/>
        <v>0.17072672148579238</v>
      </c>
      <c r="F15" s="38">
        <f t="shared" si="0"/>
        <v>1.5062774733457074E-2</v>
      </c>
    </row>
    <row r="16" spans="1:6" s="11" customFormat="1" ht="15" customHeight="1" x14ac:dyDescent="0.35">
      <c r="A16" s="120" t="s">
        <v>74</v>
      </c>
      <c r="B16" s="121">
        <v>5090660.92</v>
      </c>
      <c r="C16" s="122">
        <v>6383496.1500000004</v>
      </c>
      <c r="D16" s="121">
        <v>6152814.4199999999</v>
      </c>
      <c r="E16" s="123">
        <f t="shared" si="0"/>
        <v>0.25396215743239892</v>
      </c>
      <c r="F16" s="124">
        <f t="shared" si="0"/>
        <v>-3.6137208291415757E-2</v>
      </c>
    </row>
    <row r="17" spans="1:6" s="11" customFormat="1" ht="15" customHeight="1" x14ac:dyDescent="0.35">
      <c r="A17" s="125" t="s">
        <v>71</v>
      </c>
      <c r="B17" s="126">
        <v>478652.81</v>
      </c>
      <c r="C17" s="127">
        <v>760196.5</v>
      </c>
      <c r="D17" s="126">
        <v>1051205.1499999999</v>
      </c>
      <c r="E17" s="128">
        <f t="shared" si="0"/>
        <v>0.58820022387416881</v>
      </c>
      <c r="F17" s="129">
        <f t="shared" si="0"/>
        <v>0.38280714262693905</v>
      </c>
    </row>
    <row r="18" spans="1:6" s="11" customFormat="1" ht="15" customHeight="1" x14ac:dyDescent="0.35">
      <c r="A18" s="125" t="s">
        <v>72</v>
      </c>
      <c r="B18" s="126">
        <v>11280.79</v>
      </c>
      <c r="C18" s="127">
        <v>16900</v>
      </c>
      <c r="D18" s="126">
        <v>14331</v>
      </c>
      <c r="E18" s="128">
        <f t="shared" si="0"/>
        <v>0.49812202868770705</v>
      </c>
      <c r="F18" s="129">
        <f t="shared" si="0"/>
        <v>-0.15201183431952658</v>
      </c>
    </row>
    <row r="19" spans="1:6" s="11" customFormat="1" ht="15" customHeight="1" x14ac:dyDescent="0.35">
      <c r="A19" s="130" t="s">
        <v>73</v>
      </c>
      <c r="B19" s="131">
        <v>306488.65000000002</v>
      </c>
      <c r="C19" s="132">
        <v>288822.59999999998</v>
      </c>
      <c r="D19" s="131">
        <v>293400.39</v>
      </c>
      <c r="E19" s="133">
        <f t="shared" si="0"/>
        <v>-5.764014425982833E-2</v>
      </c>
      <c r="F19" s="134">
        <f t="shared" si="0"/>
        <v>1.5849833080929354E-2</v>
      </c>
    </row>
    <row r="20" spans="1:6" ht="15" customHeight="1" x14ac:dyDescent="0.35">
      <c r="A20" s="65" t="s">
        <v>84</v>
      </c>
      <c r="B20" s="68">
        <f>SUM(B16:B19)</f>
        <v>5887083.1699999999</v>
      </c>
      <c r="C20" s="71">
        <f t="shared" ref="C20:D20" si="3">SUM(C16:C19)</f>
        <v>7449415.25</v>
      </c>
      <c r="D20" s="68">
        <f t="shared" si="3"/>
        <v>7511750.96</v>
      </c>
      <c r="E20" s="74">
        <f t="shared" si="0"/>
        <v>0.26538304876708585</v>
      </c>
      <c r="F20" s="32">
        <f t="shared" si="0"/>
        <v>8.3678661892288009E-3</v>
      </c>
    </row>
    <row r="21" spans="1:6" ht="15" customHeight="1" thickBot="1" x14ac:dyDescent="0.4">
      <c r="A21" s="75" t="s">
        <v>64</v>
      </c>
      <c r="B21" s="76"/>
      <c r="C21" s="77">
        <v>237560</v>
      </c>
      <c r="D21" s="76"/>
      <c r="E21" s="78" t="str">
        <f t="shared" si="0"/>
        <v/>
      </c>
      <c r="F21" s="79">
        <f t="shared" si="0"/>
        <v>-1</v>
      </c>
    </row>
    <row r="22" spans="1:6" s="3" customFormat="1" ht="15" customHeight="1" thickBot="1" x14ac:dyDescent="0.4">
      <c r="A22" s="85" t="s">
        <v>27</v>
      </c>
      <c r="B22" s="86">
        <f>B11+B15+B20+B21</f>
        <v>66399764.040000007</v>
      </c>
      <c r="C22" s="87">
        <f>C11+C15+C20+C21</f>
        <v>73581622.800000012</v>
      </c>
      <c r="D22" s="86">
        <f>D11+D15+D20+D21</f>
        <v>75458741.87999998</v>
      </c>
      <c r="E22" s="88">
        <f t="shared" si="0"/>
        <v>0.10816090785614185</v>
      </c>
      <c r="F22" s="89">
        <f t="shared" si="0"/>
        <v>2.5510705099588638E-2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17312901.629999999</v>
      </c>
      <c r="C24" s="155">
        <v>19078565.120000001</v>
      </c>
      <c r="D24" s="155">
        <v>19579584.690000001</v>
      </c>
      <c r="E24" s="156">
        <f t="shared" si="0"/>
        <v>0.10198541687203022</v>
      </c>
      <c r="F24" s="104">
        <f t="shared" si="0"/>
        <v>2.6260862221487713E-2</v>
      </c>
    </row>
    <row r="25" spans="1:6" ht="15" customHeight="1" x14ac:dyDescent="0.35">
      <c r="A25" s="157" t="s">
        <v>40</v>
      </c>
      <c r="B25" s="158">
        <v>8278406.6500000004</v>
      </c>
      <c r="C25" s="158">
        <v>8780442.0099999998</v>
      </c>
      <c r="D25" s="158">
        <v>8873196.6899999995</v>
      </c>
      <c r="E25" s="159">
        <f t="shared" si="0"/>
        <v>6.0643959789049351E-2</v>
      </c>
      <c r="F25" s="109">
        <f t="shared" si="0"/>
        <v>1.0563782540145672E-2</v>
      </c>
    </row>
    <row r="26" spans="1:6" ht="15" customHeight="1" x14ac:dyDescent="0.35">
      <c r="A26" s="160" t="s">
        <v>41</v>
      </c>
      <c r="B26" s="161">
        <v>654556.27</v>
      </c>
      <c r="C26" s="161">
        <v>497146.71</v>
      </c>
      <c r="D26" s="161">
        <v>516734.39</v>
      </c>
      <c r="E26" s="162">
        <f t="shared" si="0"/>
        <v>-0.24048285413261716</v>
      </c>
      <c r="F26" s="114">
        <f t="shared" si="0"/>
        <v>3.9400200395573348E-2</v>
      </c>
    </row>
    <row r="27" spans="1:6" ht="15" customHeight="1" x14ac:dyDescent="0.35">
      <c r="A27" s="31" t="s">
        <v>65</v>
      </c>
      <c r="B27" s="23">
        <f>B24+B25+B26</f>
        <v>26245864.550000001</v>
      </c>
      <c r="C27" s="23">
        <f t="shared" ref="C27:D27" si="4">C24+C25+C26</f>
        <v>28356153.840000004</v>
      </c>
      <c r="D27" s="23">
        <f t="shared" si="4"/>
        <v>28969515.770000003</v>
      </c>
      <c r="E27" s="24">
        <f t="shared" si="0"/>
        <v>8.0404639975938608E-2</v>
      </c>
      <c r="F27" s="32">
        <f t="shared" si="0"/>
        <v>2.1630646153949717E-2</v>
      </c>
    </row>
    <row r="28" spans="1:6" ht="15" customHeight="1" x14ac:dyDescent="0.35">
      <c r="A28" s="33" t="s">
        <v>66</v>
      </c>
      <c r="B28" s="23">
        <v>7442922.0299999993</v>
      </c>
      <c r="C28" s="23">
        <v>9158338.1799999997</v>
      </c>
      <c r="D28" s="23">
        <v>9294401.8000000007</v>
      </c>
      <c r="E28" s="24">
        <f t="shared" si="0"/>
        <v>0.23047616824221939</v>
      </c>
      <c r="F28" s="32">
        <f t="shared" si="0"/>
        <v>1.4856802328738761E-2</v>
      </c>
    </row>
    <row r="29" spans="1:6" s="6" customFormat="1" ht="15" customHeight="1" x14ac:dyDescent="0.35">
      <c r="A29" s="182" t="s">
        <v>26</v>
      </c>
      <c r="B29" s="183">
        <v>6971373.1799999997</v>
      </c>
      <c r="C29" s="183">
        <v>8540444.5299999993</v>
      </c>
      <c r="D29" s="183">
        <v>8613561.7799999993</v>
      </c>
      <c r="E29" s="184">
        <f t="shared" si="0"/>
        <v>0.22507349836061996</v>
      </c>
      <c r="F29" s="185">
        <f t="shared" si="0"/>
        <v>8.5612932375078721E-3</v>
      </c>
    </row>
    <row r="30" spans="1:6" s="163" customFormat="1" ht="15" customHeight="1" x14ac:dyDescent="0.35">
      <c r="A30" s="171" t="s">
        <v>76</v>
      </c>
      <c r="B30" s="172">
        <f>SUM(B31:B36)</f>
        <v>5110210.8600000003</v>
      </c>
      <c r="C30" s="172">
        <f t="shared" ref="C30:D30" si="5">SUM(C31:C36)</f>
        <v>8117694.2599999988</v>
      </c>
      <c r="D30" s="172">
        <f t="shared" si="5"/>
        <v>7423799.5599999987</v>
      </c>
      <c r="E30" s="169">
        <f t="shared" si="0"/>
        <v>0.588524325589179</v>
      </c>
      <c r="F30" s="170">
        <f t="shared" si="0"/>
        <v>-8.5479284852987392E-2</v>
      </c>
    </row>
    <row r="31" spans="1:6" s="9" customFormat="1" ht="15" customHeight="1" x14ac:dyDescent="0.35">
      <c r="A31" s="165" t="s">
        <v>21</v>
      </c>
      <c r="B31" s="166">
        <v>2054412.32</v>
      </c>
      <c r="C31" s="166">
        <v>4477558.16</v>
      </c>
      <c r="D31" s="166">
        <v>3473014.17</v>
      </c>
      <c r="E31" s="167">
        <f t="shared" si="0"/>
        <v>1.1794836978002547</v>
      </c>
      <c r="F31" s="168">
        <f t="shared" si="0"/>
        <v>-0.22435085242979858</v>
      </c>
    </row>
    <row r="32" spans="1:6" s="9" customFormat="1" ht="15" customHeight="1" x14ac:dyDescent="0.35">
      <c r="A32" s="165" t="s">
        <v>22</v>
      </c>
      <c r="B32" s="166">
        <v>32386.75</v>
      </c>
      <c r="C32" s="166">
        <v>37747.01</v>
      </c>
      <c r="D32" s="166">
        <v>37901.69</v>
      </c>
      <c r="E32" s="167">
        <f t="shared" si="0"/>
        <v>0.1655078079770278</v>
      </c>
      <c r="F32" s="168">
        <f t="shared" si="0"/>
        <v>4.0978080118134752E-3</v>
      </c>
    </row>
    <row r="33" spans="1:6" s="9" customFormat="1" ht="15" customHeight="1" x14ac:dyDescent="0.35">
      <c r="A33" s="165" t="s">
        <v>23</v>
      </c>
      <c r="B33" s="166">
        <v>1269875.17</v>
      </c>
      <c r="C33" s="166">
        <v>1804359.19</v>
      </c>
      <c r="D33" s="166">
        <v>1776379.74</v>
      </c>
      <c r="E33" s="167">
        <f t="shared" si="0"/>
        <v>0.42089492938112971</v>
      </c>
      <c r="F33" s="168">
        <f t="shared" si="0"/>
        <v>-1.5506585470933865E-2</v>
      </c>
    </row>
    <row r="34" spans="1:6" s="9" customFormat="1" ht="15" customHeight="1" x14ac:dyDescent="0.35">
      <c r="A34" s="165" t="s">
        <v>24</v>
      </c>
      <c r="B34" s="166">
        <v>609297.99</v>
      </c>
      <c r="C34" s="166">
        <v>585009.29</v>
      </c>
      <c r="D34" s="166">
        <v>645722.18999999994</v>
      </c>
      <c r="E34" s="167">
        <f t="shared" si="0"/>
        <v>-3.9863417241865484E-2</v>
      </c>
      <c r="F34" s="168">
        <f t="shared" si="0"/>
        <v>0.10378108696359312</v>
      </c>
    </row>
    <row r="35" spans="1:6" s="9" customFormat="1" ht="15" customHeight="1" x14ac:dyDescent="0.35">
      <c r="A35" s="165" t="s">
        <v>25</v>
      </c>
      <c r="B35" s="166">
        <v>877429.26</v>
      </c>
      <c r="C35" s="166">
        <v>921993.3</v>
      </c>
      <c r="D35" s="166">
        <v>1216315.54</v>
      </c>
      <c r="E35" s="167">
        <f t="shared" si="0"/>
        <v>5.0789325170213839E-2</v>
      </c>
      <c r="F35" s="168">
        <f t="shared" si="0"/>
        <v>0.31922383817756583</v>
      </c>
    </row>
    <row r="36" spans="1:6" s="9" customFormat="1" ht="15" customHeight="1" x14ac:dyDescent="0.35">
      <c r="A36" s="165" t="s">
        <v>32</v>
      </c>
      <c r="B36" s="166">
        <v>266809.37</v>
      </c>
      <c r="C36" s="166">
        <v>291027.31</v>
      </c>
      <c r="D36" s="166">
        <v>274466.23</v>
      </c>
      <c r="E36" s="167">
        <f t="shared" si="0"/>
        <v>9.0768701264127172E-2</v>
      </c>
      <c r="F36" s="168">
        <f t="shared" si="0"/>
        <v>-5.6905587314125317E-2</v>
      </c>
    </row>
    <row r="37" spans="1:6" s="10" customFormat="1" ht="15" customHeight="1" x14ac:dyDescent="0.35">
      <c r="A37" s="171" t="s">
        <v>77</v>
      </c>
      <c r="B37" s="172">
        <v>10155258.52</v>
      </c>
      <c r="C37" s="172">
        <v>11305689.859999999</v>
      </c>
      <c r="D37" s="172">
        <v>11836533.809999999</v>
      </c>
      <c r="E37" s="169">
        <f t="shared" si="0"/>
        <v>0.11328429874378032</v>
      </c>
      <c r="F37" s="170">
        <f t="shared" si="0"/>
        <v>4.695369823279405E-2</v>
      </c>
    </row>
    <row r="38" spans="1:6" s="7" customFormat="1" ht="15" customHeight="1" x14ac:dyDescent="0.35">
      <c r="A38" s="173" t="s">
        <v>70</v>
      </c>
      <c r="B38" s="174">
        <v>9679883.6699999999</v>
      </c>
      <c r="C38" s="174">
        <v>10870090.32</v>
      </c>
      <c r="D38" s="174">
        <v>11361685.289999999</v>
      </c>
      <c r="E38" s="169">
        <f t="shared" si="0"/>
        <v>0.12295671007790121</v>
      </c>
      <c r="F38" s="170">
        <f t="shared" si="0"/>
        <v>4.5224552467195922E-2</v>
      </c>
    </row>
    <row r="39" spans="1:6" s="10" customFormat="1" ht="15" customHeight="1" x14ac:dyDescent="0.35">
      <c r="A39" s="171" t="s">
        <v>78</v>
      </c>
      <c r="B39" s="172">
        <v>2605361.81</v>
      </c>
      <c r="C39" s="172">
        <v>2941887.1799999997</v>
      </c>
      <c r="D39" s="172">
        <v>2631791.64</v>
      </c>
      <c r="E39" s="169">
        <f t="shared" si="0"/>
        <v>0.12916646306410695</v>
      </c>
      <c r="F39" s="170">
        <f t="shared" si="0"/>
        <v>-0.10540701292290877</v>
      </c>
    </row>
    <row r="40" spans="1:6" s="10" customFormat="1" ht="15" customHeight="1" x14ac:dyDescent="0.35">
      <c r="A40" s="175" t="s">
        <v>79</v>
      </c>
      <c r="B40" s="176">
        <v>5345259.87</v>
      </c>
      <c r="C40" s="176">
        <v>5455757.5000000009</v>
      </c>
      <c r="D40" s="176">
        <v>5832722.6899999985</v>
      </c>
      <c r="E40" s="177">
        <f t="shared" si="0"/>
        <v>2.0672078194020616E-2</v>
      </c>
      <c r="F40" s="178">
        <f t="shared" si="0"/>
        <v>6.9094931363792744E-2</v>
      </c>
    </row>
    <row r="41" spans="1:6" ht="15" customHeight="1" x14ac:dyDescent="0.35">
      <c r="A41" s="31" t="s">
        <v>75</v>
      </c>
      <c r="B41" s="23">
        <f>+B30+B37+B39+B40</f>
        <v>23216091.059999999</v>
      </c>
      <c r="C41" s="23">
        <f>+C30+C37+C39+C40</f>
        <v>27821028.799999997</v>
      </c>
      <c r="D41" s="23">
        <f>+D30+D37+D39+D40</f>
        <v>27724847.699999996</v>
      </c>
      <c r="E41" s="24">
        <f t="shared" si="0"/>
        <v>0.19835112328336968</v>
      </c>
      <c r="F41" s="32">
        <f t="shared" si="0"/>
        <v>-3.457136710918518E-3</v>
      </c>
    </row>
    <row r="42" spans="1:6" ht="15" customHeight="1" x14ac:dyDescent="0.35">
      <c r="A42" s="33" t="s">
        <v>67</v>
      </c>
      <c r="B42" s="23">
        <v>835898.74000000022</v>
      </c>
      <c r="C42" s="23">
        <v>987663.06999999983</v>
      </c>
      <c r="D42" s="23">
        <v>1006481.93</v>
      </c>
      <c r="E42" s="24">
        <f t="shared" si="0"/>
        <v>0.18155827104129818</v>
      </c>
      <c r="F42" s="32">
        <f t="shared" si="0"/>
        <v>1.9053926963169987E-2</v>
      </c>
    </row>
    <row r="43" spans="1:6" ht="15" customHeight="1" x14ac:dyDescent="0.35">
      <c r="A43" s="33" t="s">
        <v>68</v>
      </c>
      <c r="B43" s="23">
        <v>1177434.29</v>
      </c>
      <c r="C43" s="23">
        <v>1609890.58</v>
      </c>
      <c r="D43" s="23">
        <v>1571928.8399999999</v>
      </c>
      <c r="E43" s="24">
        <f t="shared" si="0"/>
        <v>0.3672869846520268</v>
      </c>
      <c r="F43" s="32">
        <f t="shared" si="0"/>
        <v>-2.3580323080094168E-2</v>
      </c>
    </row>
    <row r="44" spans="1:6" ht="15" customHeight="1" x14ac:dyDescent="0.35">
      <c r="A44" s="33" t="s">
        <v>69</v>
      </c>
      <c r="B44" s="23">
        <v>76924.84</v>
      </c>
      <c r="C44" s="23">
        <v>90553.87000000001</v>
      </c>
      <c r="D44" s="23">
        <v>90613.82</v>
      </c>
      <c r="E44" s="24">
        <f t="shared" si="0"/>
        <v>0.17717332918729523</v>
      </c>
      <c r="F44" s="32">
        <f t="shared" si="0"/>
        <v>6.6203686269838968E-4</v>
      </c>
    </row>
    <row r="45" spans="1:6" ht="15" customHeight="1" x14ac:dyDescent="0.35">
      <c r="A45" s="186" t="s">
        <v>80</v>
      </c>
      <c r="B45" s="187">
        <v>7314390.5800000001</v>
      </c>
      <c r="C45" s="187">
        <v>8474001.1899999995</v>
      </c>
      <c r="D45" s="187">
        <v>8111763.0099999998</v>
      </c>
      <c r="E45" s="188">
        <f t="shared" si="0"/>
        <v>0.15853824010584883</v>
      </c>
      <c r="F45" s="189">
        <f t="shared" si="0"/>
        <v>-4.2747006033875712E-2</v>
      </c>
    </row>
    <row r="46" spans="1:6" ht="15" customHeight="1" x14ac:dyDescent="0.35">
      <c r="A46" s="171" t="s">
        <v>81</v>
      </c>
      <c r="B46" s="190">
        <v>833455.45</v>
      </c>
      <c r="C46" s="190">
        <v>870529.76</v>
      </c>
      <c r="D46" s="190">
        <v>949329.58</v>
      </c>
      <c r="E46" s="191">
        <f t="shared" si="0"/>
        <v>4.4482653511954462E-2</v>
      </c>
      <c r="F46" s="192">
        <f t="shared" si="0"/>
        <v>9.051938672378057E-2</v>
      </c>
    </row>
    <row r="47" spans="1:6" ht="15" customHeight="1" x14ac:dyDescent="0.35">
      <c r="A47" s="175" t="s">
        <v>82</v>
      </c>
      <c r="B47" s="193">
        <v>52880.19</v>
      </c>
      <c r="C47" s="193">
        <v>24800.6</v>
      </c>
      <c r="D47" s="193">
        <v>38331</v>
      </c>
      <c r="E47" s="194">
        <f t="shared" si="0"/>
        <v>-0.53100395441090509</v>
      </c>
      <c r="F47" s="195">
        <f t="shared" si="0"/>
        <v>0.5455674459488884</v>
      </c>
    </row>
    <row r="48" spans="1:6" ht="15" customHeight="1" thickBot="1" x14ac:dyDescent="0.4">
      <c r="A48" s="90" t="s">
        <v>83</v>
      </c>
      <c r="B48" s="91">
        <v>8200726.2199999997</v>
      </c>
      <c r="C48" s="91">
        <v>9369331.5500000007</v>
      </c>
      <c r="D48" s="91">
        <v>9099423.5899999999</v>
      </c>
      <c r="E48" s="92">
        <f t="shared" si="0"/>
        <v>0.14250022481545566</v>
      </c>
      <c r="F48" s="79">
        <f t="shared" si="0"/>
        <v>-2.8807600473910067E-2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67195861.730000004</v>
      </c>
      <c r="C49" s="97">
        <f>C27+C28+C41+C42+C43+C44+C48</f>
        <v>77392959.890000001</v>
      </c>
      <c r="D49" s="97">
        <f>D27+D28+D41+D42+D43+D44+D48</f>
        <v>77757213.450000003</v>
      </c>
      <c r="E49" s="98">
        <f t="shared" si="0"/>
        <v>0.15175187723572914</v>
      </c>
      <c r="F49" s="99">
        <f t="shared" si="0"/>
        <v>4.7065464419209224E-3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37821061.56000001</v>
      </c>
      <c r="C51" s="58">
        <f>+C11</f>
        <v>39328962.470000006</v>
      </c>
      <c r="D51" s="44">
        <f>+D11</f>
        <v>40981152.909999996</v>
      </c>
      <c r="E51" s="59">
        <f t="shared" si="0"/>
        <v>3.9869343900033938E-2</v>
      </c>
      <c r="F51" s="28">
        <f t="shared" si="0"/>
        <v>4.2009509944745504E-2</v>
      </c>
    </row>
    <row r="52" spans="1:7" ht="15" customHeight="1" x14ac:dyDescent="0.35">
      <c r="A52" s="40" t="s">
        <v>9</v>
      </c>
      <c r="B52" s="45">
        <f>+B28</f>
        <v>7442922.0299999993</v>
      </c>
      <c r="C52" s="49">
        <f>+C28</f>
        <v>9158338.1799999997</v>
      </c>
      <c r="D52" s="45">
        <f>+D28</f>
        <v>9294401.8000000007</v>
      </c>
      <c r="E52" s="53">
        <f t="shared" si="0"/>
        <v>0.23047616824221939</v>
      </c>
      <c r="F52" s="30">
        <f t="shared" si="0"/>
        <v>1.4856802328738761E-2</v>
      </c>
    </row>
    <row r="53" spans="1:7" ht="15" customHeight="1" x14ac:dyDescent="0.35">
      <c r="A53" s="40" t="s">
        <v>10</v>
      </c>
      <c r="B53" s="45">
        <f>+B41</f>
        <v>23216091.059999999</v>
      </c>
      <c r="C53" s="49">
        <f>+C41</f>
        <v>27821028.799999997</v>
      </c>
      <c r="D53" s="45">
        <f>+D41</f>
        <v>27724847.699999996</v>
      </c>
      <c r="E53" s="53">
        <f t="shared" si="0"/>
        <v>0.19835112328336968</v>
      </c>
      <c r="F53" s="30">
        <f t="shared" si="0"/>
        <v>-3.457136710918518E-3</v>
      </c>
    </row>
    <row r="54" spans="1:7" s="3" customFormat="1" ht="15" customHeight="1" x14ac:dyDescent="0.35">
      <c r="A54" s="41" t="s">
        <v>11</v>
      </c>
      <c r="B54" s="46">
        <f>B51-B52-B53</f>
        <v>7162048.47000001</v>
      </c>
      <c r="C54" s="50">
        <f t="shared" ref="C54:D54" si="6">C51-C52-C53</f>
        <v>2349595.4900000095</v>
      </c>
      <c r="D54" s="46">
        <f t="shared" si="6"/>
        <v>3961903.41</v>
      </c>
      <c r="E54" s="54">
        <f t="shared" si="0"/>
        <v>-0.67193806355236707</v>
      </c>
      <c r="F54" s="34">
        <f t="shared" si="0"/>
        <v>0.68620659465088774</v>
      </c>
      <c r="G54" s="4"/>
    </row>
    <row r="55" spans="1:7" ht="15" customHeight="1" x14ac:dyDescent="0.35">
      <c r="A55" s="40" t="s">
        <v>12</v>
      </c>
      <c r="B55" s="45">
        <f>B15</f>
        <v>22691619.309999999</v>
      </c>
      <c r="C55" s="49">
        <f>C15</f>
        <v>26565685.079999998</v>
      </c>
      <c r="D55" s="45">
        <f>D15</f>
        <v>26965838.009999998</v>
      </c>
      <c r="E55" s="53">
        <f t="shared" si="0"/>
        <v>0.17072672148579238</v>
      </c>
      <c r="F55" s="30">
        <f t="shared" si="0"/>
        <v>1.5062774733457074E-2</v>
      </c>
    </row>
    <row r="56" spans="1:7" ht="15" customHeight="1" x14ac:dyDescent="0.35">
      <c r="A56" s="40" t="s">
        <v>13</v>
      </c>
      <c r="B56" s="45">
        <f>B27</f>
        <v>26245864.550000001</v>
      </c>
      <c r="C56" s="49">
        <f>C27</f>
        <v>28356153.840000004</v>
      </c>
      <c r="D56" s="45">
        <f>D27</f>
        <v>28969515.770000003</v>
      </c>
      <c r="E56" s="53">
        <f t="shared" si="0"/>
        <v>8.0404639975938608E-2</v>
      </c>
      <c r="F56" s="30">
        <f t="shared" si="0"/>
        <v>2.1630646153949717E-2</v>
      </c>
    </row>
    <row r="57" spans="1:7" ht="15" customHeight="1" x14ac:dyDescent="0.35">
      <c r="A57" s="40" t="s">
        <v>14</v>
      </c>
      <c r="B57" s="45">
        <f>B42+B43</f>
        <v>2013333.0300000003</v>
      </c>
      <c r="C57" s="49">
        <f t="shared" ref="C57:D57" si="7">C42+C43</f>
        <v>2597553.65</v>
      </c>
      <c r="D57" s="45">
        <f t="shared" si="7"/>
        <v>2578410.77</v>
      </c>
      <c r="E57" s="53">
        <f t="shared" si="0"/>
        <v>0.29017584835430799</v>
      </c>
      <c r="F57" s="30">
        <f t="shared" si="0"/>
        <v>-7.3695802202198291E-3</v>
      </c>
    </row>
    <row r="58" spans="1:7" s="3" customFormat="1" ht="15" customHeight="1" x14ac:dyDescent="0.35">
      <c r="A58" s="42" t="s">
        <v>15</v>
      </c>
      <c r="B58" s="47">
        <f>+B54+B55-B56-B57</f>
        <v>1594470.2000000076</v>
      </c>
      <c r="C58" s="51">
        <f>+C54+C55-C56-C57</f>
        <v>-2038426.9199999957</v>
      </c>
      <c r="D58" s="47">
        <f t="shared" ref="D58" si="8">+D54+D55-D56-D57</f>
        <v>-620185.12000000523</v>
      </c>
      <c r="E58" s="55">
        <f t="shared" si="0"/>
        <v>-2.2784352570527728</v>
      </c>
      <c r="F58" s="35">
        <f t="shared" si="0"/>
        <v>-0.69575307610242576</v>
      </c>
      <c r="G58" s="4"/>
    </row>
    <row r="59" spans="1:7" ht="15" customHeight="1" x14ac:dyDescent="0.35">
      <c r="A59" s="40" t="s">
        <v>16</v>
      </c>
      <c r="B59" s="45">
        <f t="shared" ref="B59:D60" si="9">B20</f>
        <v>5887083.1699999999</v>
      </c>
      <c r="C59" s="49">
        <f t="shared" si="9"/>
        <v>7449415.25</v>
      </c>
      <c r="D59" s="45">
        <f t="shared" si="9"/>
        <v>7511750.96</v>
      </c>
      <c r="E59" s="53">
        <f t="shared" si="0"/>
        <v>0.26538304876708585</v>
      </c>
      <c r="F59" s="30">
        <f t="shared" si="0"/>
        <v>8.3678661892288009E-3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237560</v>
      </c>
      <c r="D60" s="45">
        <f t="shared" si="9"/>
        <v>0</v>
      </c>
      <c r="E60" s="53" t="e">
        <f t="shared" si="0"/>
        <v>#DIV/0!</v>
      </c>
      <c r="F60" s="30">
        <f t="shared" si="0"/>
        <v>-1</v>
      </c>
    </row>
    <row r="61" spans="1:7" ht="15" customHeight="1" x14ac:dyDescent="0.35">
      <c r="A61" s="40" t="s">
        <v>18</v>
      </c>
      <c r="B61" s="45">
        <f>B48</f>
        <v>8200726.2199999997</v>
      </c>
      <c r="C61" s="49">
        <f t="shared" ref="C61:D61" si="10">C48</f>
        <v>9369331.5500000007</v>
      </c>
      <c r="D61" s="45">
        <f t="shared" si="10"/>
        <v>9099423.5899999999</v>
      </c>
      <c r="E61" s="53">
        <f t="shared" si="0"/>
        <v>0.14250022481545566</v>
      </c>
      <c r="F61" s="30">
        <f t="shared" si="0"/>
        <v>-2.8807600473910067E-2</v>
      </c>
    </row>
    <row r="62" spans="1:7" ht="15" customHeight="1" x14ac:dyDescent="0.35">
      <c r="A62" s="40" t="s">
        <v>19</v>
      </c>
      <c r="B62" s="45">
        <f>B44</f>
        <v>76924.84</v>
      </c>
      <c r="C62" s="49">
        <f t="shared" ref="C62:D62" si="11">C44</f>
        <v>90553.87000000001</v>
      </c>
      <c r="D62" s="45">
        <f t="shared" si="11"/>
        <v>90613.82</v>
      </c>
      <c r="E62" s="53">
        <f t="shared" si="0"/>
        <v>0.17717332918729523</v>
      </c>
      <c r="F62" s="30">
        <f t="shared" si="0"/>
        <v>6.6203686269838968E-4</v>
      </c>
    </row>
    <row r="63" spans="1:7" s="3" customFormat="1" ht="15" customHeight="1" thickBot="1" x14ac:dyDescent="0.4">
      <c r="A63" s="43" t="s">
        <v>20</v>
      </c>
      <c r="B63" s="48">
        <f>B58+B59+B60-B61-B62</f>
        <v>-796097.68999999214</v>
      </c>
      <c r="C63" s="52">
        <f t="shared" ref="C63:D63" si="12">C58+C59+C60-C61-C62</f>
        <v>-3811337.0899999971</v>
      </c>
      <c r="D63" s="48">
        <f t="shared" si="12"/>
        <v>-2298471.5700000054</v>
      </c>
      <c r="E63" s="56">
        <f t="shared" si="0"/>
        <v>3.7875243677695316</v>
      </c>
      <c r="F63" s="36">
        <f t="shared" si="0"/>
        <v>-0.39693826189485459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7314390.5800000001</v>
      </c>
      <c r="C65" s="26">
        <f t="shared" ref="C65:D65" si="13">C45</f>
        <v>8474001.1899999995</v>
      </c>
      <c r="D65" s="26">
        <f t="shared" si="13"/>
        <v>8111763.0099999998</v>
      </c>
      <c r="E65" s="27">
        <f t="shared" ref="E65:E66" si="14">+IF(ISBLANK(B65),"",+C65/B65-1)</f>
        <v>0.15853824010584883</v>
      </c>
      <c r="F65" s="28">
        <f t="shared" ref="F65:F66" si="15">+IF(ISBLANK(C65),"",+D65/C65-1)</f>
        <v>-4.2747006033875712E-2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5090660.92</v>
      </c>
      <c r="C66" s="19">
        <f t="shared" si="16"/>
        <v>6383496.1500000004</v>
      </c>
      <c r="D66" s="19">
        <f t="shared" si="16"/>
        <v>6152814.4199999999</v>
      </c>
      <c r="E66" s="20">
        <f t="shared" si="14"/>
        <v>0.25396215743239892</v>
      </c>
      <c r="F66" s="30">
        <f t="shared" si="15"/>
        <v>-3.6137208291415757E-2</v>
      </c>
    </row>
    <row r="67" spans="1:6" ht="15" customHeight="1" thickBot="1" x14ac:dyDescent="0.4">
      <c r="A67" s="207" t="s">
        <v>85</v>
      </c>
      <c r="B67" s="208">
        <f>B65-B66</f>
        <v>2223729.66</v>
      </c>
      <c r="C67" s="208">
        <f t="shared" ref="C67:D67" si="17">C65-C66</f>
        <v>2090505.0399999991</v>
      </c>
      <c r="D67" s="208">
        <f t="shared" si="17"/>
        <v>1958948.5899999999</v>
      </c>
      <c r="E67" s="209">
        <f>+IF(ISBLANK(B67),"",+C67/B67-1)</f>
        <v>-5.9910438933481247E-2</v>
      </c>
      <c r="F67" s="210">
        <f>+IF(ISBLANK(C67),"",+D67/C67-1)</f>
        <v>-6.2930462966020562E-2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3F4FC-D9E0-4517-A24B-2FDAAA8F7560}">
  <sheetPr>
    <tabColor theme="5" tint="0.79998168889431442"/>
    <pageSetUpPr fitToPage="1"/>
  </sheetPr>
  <dimension ref="A1:G72"/>
  <sheetViews>
    <sheetView topLeftCell="A9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50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14460249.810000001</v>
      </c>
      <c r="C6" s="102">
        <v>15401417.32</v>
      </c>
      <c r="D6" s="101">
        <v>17118181.579999998</v>
      </c>
      <c r="E6" s="103">
        <f>+IF(ISBLANK(B6),"",+C6/B6-1)</f>
        <v>6.5086531862619257E-2</v>
      </c>
      <c r="F6" s="104">
        <f>+IF(ISBLANK(C6),"",+D6/C6-1)</f>
        <v>0.11146793988697645</v>
      </c>
    </row>
    <row r="7" spans="1:6" ht="15" customHeight="1" x14ac:dyDescent="0.35">
      <c r="A7" s="105" t="s">
        <v>2</v>
      </c>
      <c r="B7" s="106">
        <v>2601965.2000000002</v>
      </c>
      <c r="C7" s="107">
        <v>3010617.13</v>
      </c>
      <c r="D7" s="106">
        <v>3269668.91</v>
      </c>
      <c r="E7" s="108">
        <f t="shared" ref="E7:F63" si="0">+IF(ISBLANK(B7),"",+C7/B7-1)</f>
        <v>0.15705510973013759</v>
      </c>
      <c r="F7" s="109">
        <f t="shared" si="0"/>
        <v>8.6046072553902064E-2</v>
      </c>
    </row>
    <row r="8" spans="1:6" ht="15" customHeight="1" x14ac:dyDescent="0.35">
      <c r="A8" s="105" t="s">
        <v>4</v>
      </c>
      <c r="B8" s="106">
        <v>41291.379999999997</v>
      </c>
      <c r="C8" s="107">
        <v>47566.01</v>
      </c>
      <c r="D8" s="106">
        <v>49664.67</v>
      </c>
      <c r="E8" s="108">
        <f t="shared" si="0"/>
        <v>0.15195980371690188</v>
      </c>
      <c r="F8" s="109">
        <f t="shared" si="0"/>
        <v>4.4121001530294413E-2</v>
      </c>
    </row>
    <row r="9" spans="1:6" ht="15" customHeight="1" x14ac:dyDescent="0.35">
      <c r="A9" s="105" t="s">
        <v>3</v>
      </c>
      <c r="B9" s="106">
        <v>462630.23</v>
      </c>
      <c r="C9" s="107">
        <v>1033257.81</v>
      </c>
      <c r="D9" s="106">
        <v>630649.64</v>
      </c>
      <c r="E9" s="108">
        <f t="shared" si="0"/>
        <v>1.2334420515494635</v>
      </c>
      <c r="F9" s="109">
        <f t="shared" si="0"/>
        <v>-0.38964928801264032</v>
      </c>
    </row>
    <row r="10" spans="1:6" ht="15" customHeight="1" x14ac:dyDescent="0.35">
      <c r="A10" s="110" t="s">
        <v>5</v>
      </c>
      <c r="B10" s="111">
        <v>184074.6</v>
      </c>
      <c r="C10" s="112">
        <v>140385.44</v>
      </c>
      <c r="D10" s="111">
        <v>326423.96999999997</v>
      </c>
      <c r="E10" s="113">
        <f t="shared" si="0"/>
        <v>-0.23734485909517122</v>
      </c>
      <c r="F10" s="114">
        <f t="shared" si="0"/>
        <v>1.3251981829454675</v>
      </c>
    </row>
    <row r="11" spans="1:6" s="3" customFormat="1" ht="15" customHeight="1" x14ac:dyDescent="0.35">
      <c r="A11" s="64" t="s">
        <v>62</v>
      </c>
      <c r="B11" s="67">
        <f>SUM(B6:B10)</f>
        <v>17750211.220000003</v>
      </c>
      <c r="C11" s="70">
        <f t="shared" ref="C11:D11" si="1">SUM(C6:C10)</f>
        <v>19633243.710000001</v>
      </c>
      <c r="D11" s="67">
        <f t="shared" si="1"/>
        <v>21394588.77</v>
      </c>
      <c r="E11" s="73">
        <f t="shared" si="0"/>
        <v>0.10608507508227816</v>
      </c>
      <c r="F11" s="38">
        <f t="shared" si="0"/>
        <v>8.971238201983267E-2</v>
      </c>
    </row>
    <row r="12" spans="1:6" ht="15" customHeight="1" x14ac:dyDescent="0.35">
      <c r="A12" s="115" t="s">
        <v>29</v>
      </c>
      <c r="B12" s="116">
        <v>8987066</v>
      </c>
      <c r="C12" s="117">
        <v>10829157</v>
      </c>
      <c r="D12" s="116">
        <v>10490253.5</v>
      </c>
      <c r="E12" s="118">
        <f t="shared" si="0"/>
        <v>0.20497134437423736</v>
      </c>
      <c r="F12" s="119">
        <f t="shared" si="0"/>
        <v>-3.1295464642353998E-2</v>
      </c>
    </row>
    <row r="13" spans="1:6" ht="15" customHeight="1" x14ac:dyDescent="0.35">
      <c r="A13" s="105" t="s">
        <v>60</v>
      </c>
      <c r="B13" s="106">
        <v>484920</v>
      </c>
      <c r="C13" s="107">
        <v>516675.3</v>
      </c>
      <c r="D13" s="106">
        <v>509552.99</v>
      </c>
      <c r="E13" s="108">
        <f t="shared" si="0"/>
        <v>6.5485647117050183E-2</v>
      </c>
      <c r="F13" s="109">
        <f t="shared" si="0"/>
        <v>-1.3784885788037493E-2</v>
      </c>
    </row>
    <row r="14" spans="1:6" ht="15" customHeight="1" x14ac:dyDescent="0.35">
      <c r="A14" s="110" t="s">
        <v>61</v>
      </c>
      <c r="B14" s="111"/>
      <c r="C14" s="112">
        <v>695647.59999999963</v>
      </c>
      <c r="D14" s="111">
        <v>384219.8200000003</v>
      </c>
      <c r="E14" s="113" t="str">
        <f t="shared" si="0"/>
        <v/>
      </c>
      <c r="F14" s="114">
        <f t="shared" si="0"/>
        <v>-0.44768037724847964</v>
      </c>
    </row>
    <row r="15" spans="1:6" s="3" customFormat="1" ht="15" customHeight="1" x14ac:dyDescent="0.35">
      <c r="A15" s="64" t="s">
        <v>63</v>
      </c>
      <c r="B15" s="67">
        <f>SUM(B12:B14)</f>
        <v>9471986</v>
      </c>
      <c r="C15" s="70">
        <f t="shared" ref="C15:D15" si="2">SUM(C12:C14)</f>
        <v>12041479.9</v>
      </c>
      <c r="D15" s="67">
        <f t="shared" si="2"/>
        <v>11384026.310000001</v>
      </c>
      <c r="E15" s="73">
        <f t="shared" si="0"/>
        <v>0.27127298330043992</v>
      </c>
      <c r="F15" s="38">
        <f t="shared" si="0"/>
        <v>-5.459906884036736E-2</v>
      </c>
    </row>
    <row r="16" spans="1:6" s="11" customFormat="1" ht="15" customHeight="1" x14ac:dyDescent="0.35">
      <c r="A16" s="120" t="s">
        <v>74</v>
      </c>
      <c r="B16" s="121">
        <v>5447199.8899999997</v>
      </c>
      <c r="C16" s="122">
        <v>5432165.0099999998</v>
      </c>
      <c r="D16" s="121">
        <v>5323526.93</v>
      </c>
      <c r="E16" s="123">
        <f t="shared" si="0"/>
        <v>-2.7601116727148378E-3</v>
      </c>
      <c r="F16" s="124">
        <f t="shared" si="0"/>
        <v>-1.9999039020355491E-2</v>
      </c>
    </row>
    <row r="17" spans="1:6" s="11" customFormat="1" ht="15" customHeight="1" x14ac:dyDescent="0.35">
      <c r="A17" s="125" t="s">
        <v>71</v>
      </c>
      <c r="B17" s="126">
        <v>93084.6</v>
      </c>
      <c r="C17" s="127">
        <v>162403.79</v>
      </c>
      <c r="D17" s="126">
        <v>165569.85999999999</v>
      </c>
      <c r="E17" s="128">
        <f t="shared" si="0"/>
        <v>0.74469020654329499</v>
      </c>
      <c r="F17" s="129">
        <f t="shared" si="0"/>
        <v>1.9495049961580246E-2</v>
      </c>
    </row>
    <row r="18" spans="1:6" s="11" customFormat="1" ht="15" customHeight="1" x14ac:dyDescent="0.35">
      <c r="A18" s="125" t="s">
        <v>72</v>
      </c>
      <c r="B18" s="126"/>
      <c r="C18" s="127"/>
      <c r="D18" s="126"/>
      <c r="E18" s="128" t="str">
        <f t="shared" si="0"/>
        <v/>
      </c>
      <c r="F18" s="129" t="str">
        <f t="shared" si="0"/>
        <v/>
      </c>
    </row>
    <row r="19" spans="1:6" s="11" customFormat="1" ht="15" customHeight="1" x14ac:dyDescent="0.35">
      <c r="A19" s="130" t="s">
        <v>73</v>
      </c>
      <c r="B19" s="131">
        <v>98266</v>
      </c>
      <c r="C19" s="132">
        <v>89578.16</v>
      </c>
      <c r="D19" s="131">
        <v>102895</v>
      </c>
      <c r="E19" s="133">
        <f t="shared" si="0"/>
        <v>-8.8411454623165686E-2</v>
      </c>
      <c r="F19" s="134">
        <f t="shared" si="0"/>
        <v>0.14866168271373281</v>
      </c>
    </row>
    <row r="20" spans="1:6" ht="15" customHeight="1" x14ac:dyDescent="0.35">
      <c r="A20" s="65" t="s">
        <v>84</v>
      </c>
      <c r="B20" s="68">
        <f>SUM(B16:B19)</f>
        <v>5638550.4899999993</v>
      </c>
      <c r="C20" s="71">
        <f t="shared" ref="C20:D20" si="3">SUM(C16:C19)</f>
        <v>5684146.96</v>
      </c>
      <c r="D20" s="68">
        <f t="shared" si="3"/>
        <v>5591991.79</v>
      </c>
      <c r="E20" s="74">
        <f t="shared" si="0"/>
        <v>8.0865587850753595E-3</v>
      </c>
      <c r="F20" s="32">
        <f t="shared" si="0"/>
        <v>-1.6212664916742447E-2</v>
      </c>
    </row>
    <row r="21" spans="1:6" ht="15" customHeight="1" thickBot="1" x14ac:dyDescent="0.4">
      <c r="A21" s="75" t="s">
        <v>64</v>
      </c>
      <c r="B21" s="76"/>
      <c r="C21" s="77"/>
      <c r="D21" s="76">
        <v>1713.03</v>
      </c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32860747.710000001</v>
      </c>
      <c r="C22" s="87">
        <f>C11+C15+C20+C21</f>
        <v>37358870.57</v>
      </c>
      <c r="D22" s="86">
        <f>D11+D15+D20+D21</f>
        <v>38372319.899999999</v>
      </c>
      <c r="E22" s="88">
        <f t="shared" si="0"/>
        <v>0.13688437340794768</v>
      </c>
      <c r="F22" s="89">
        <f t="shared" si="0"/>
        <v>2.7127408150658061E-2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7778106.0699999994</v>
      </c>
      <c r="C24" s="155">
        <v>8565106.7799999993</v>
      </c>
      <c r="D24" s="155">
        <v>8647322.8399999999</v>
      </c>
      <c r="E24" s="156">
        <f t="shared" si="0"/>
        <v>0.10118153480002623</v>
      </c>
      <c r="F24" s="104">
        <f t="shared" si="0"/>
        <v>9.5989533010820693E-3</v>
      </c>
    </row>
    <row r="25" spans="1:6" ht="15" customHeight="1" x14ac:dyDescent="0.35">
      <c r="A25" s="157" t="s">
        <v>40</v>
      </c>
      <c r="B25" s="158">
        <v>3661686</v>
      </c>
      <c r="C25" s="158">
        <v>3963362.95</v>
      </c>
      <c r="D25" s="158">
        <v>3985571.83</v>
      </c>
      <c r="E25" s="159">
        <f t="shared" si="0"/>
        <v>8.2387443926104087E-2</v>
      </c>
      <c r="F25" s="109">
        <f t="shared" si="0"/>
        <v>5.6035443334807589E-3</v>
      </c>
    </row>
    <row r="26" spans="1:6" ht="15" customHeight="1" x14ac:dyDescent="0.35">
      <c r="A26" s="160" t="s">
        <v>41</v>
      </c>
      <c r="B26" s="161">
        <v>196792.7</v>
      </c>
      <c r="C26" s="161">
        <v>202838.41</v>
      </c>
      <c r="D26" s="161">
        <v>214367.38999999998</v>
      </c>
      <c r="E26" s="162">
        <f t="shared" si="0"/>
        <v>3.0721210695315415E-2</v>
      </c>
      <c r="F26" s="114">
        <f t="shared" si="0"/>
        <v>5.6838248732081764E-2</v>
      </c>
    </row>
    <row r="27" spans="1:6" ht="15" customHeight="1" x14ac:dyDescent="0.35">
      <c r="A27" s="31" t="s">
        <v>65</v>
      </c>
      <c r="B27" s="23">
        <f>B24+B25+B26</f>
        <v>11636584.77</v>
      </c>
      <c r="C27" s="23">
        <f t="shared" ref="C27:D27" si="4">C24+C25+C26</f>
        <v>12731308.140000001</v>
      </c>
      <c r="D27" s="23">
        <f t="shared" si="4"/>
        <v>12847262.060000001</v>
      </c>
      <c r="E27" s="24">
        <f t="shared" si="0"/>
        <v>9.4076001819905164E-2</v>
      </c>
      <c r="F27" s="32">
        <f t="shared" si="0"/>
        <v>9.1077773568051246E-3</v>
      </c>
    </row>
    <row r="28" spans="1:6" ht="15" customHeight="1" x14ac:dyDescent="0.35">
      <c r="A28" s="33" t="s">
        <v>66</v>
      </c>
      <c r="B28" s="23">
        <f>2281374.07+525</f>
        <v>2281899.0699999998</v>
      </c>
      <c r="C28" s="23">
        <v>2790944.1599999997</v>
      </c>
      <c r="D28" s="23">
        <v>2629193.1399999997</v>
      </c>
      <c r="E28" s="24">
        <f t="shared" si="0"/>
        <v>0.22307958169245401</v>
      </c>
      <c r="F28" s="32">
        <f t="shared" si="0"/>
        <v>-5.7955663290662152E-2</v>
      </c>
    </row>
    <row r="29" spans="1:6" s="6" customFormat="1" ht="15" customHeight="1" x14ac:dyDescent="0.35">
      <c r="A29" s="182" t="s">
        <v>26</v>
      </c>
      <c r="B29" s="183">
        <v>2093145.24</v>
      </c>
      <c r="C29" s="183">
        <v>2603405.7399999998</v>
      </c>
      <c r="D29" s="183">
        <v>2465689.0699999998</v>
      </c>
      <c r="E29" s="184">
        <f t="shared" si="0"/>
        <v>0.24377692013383645</v>
      </c>
      <c r="F29" s="185">
        <f t="shared" si="0"/>
        <v>-5.2898658047823122E-2</v>
      </c>
    </row>
    <row r="30" spans="1:6" s="163" customFormat="1" ht="15" customHeight="1" x14ac:dyDescent="0.35">
      <c r="A30" s="171" t="s">
        <v>76</v>
      </c>
      <c r="B30" s="172">
        <f>SUM(B31:B36)</f>
        <v>2382005.7200000002</v>
      </c>
      <c r="C30" s="172">
        <f t="shared" ref="C30:D30" si="5">SUM(C31:C36)</f>
        <v>3563754.0300000003</v>
      </c>
      <c r="D30" s="172">
        <f t="shared" si="5"/>
        <v>3208112.1100000003</v>
      </c>
      <c r="E30" s="169">
        <f t="shared" si="0"/>
        <v>0.49611480781834572</v>
      </c>
      <c r="F30" s="170">
        <f t="shared" si="0"/>
        <v>-9.9794182484586269E-2</v>
      </c>
    </row>
    <row r="31" spans="1:6" s="9" customFormat="1" ht="15" customHeight="1" x14ac:dyDescent="0.35">
      <c r="A31" s="165" t="s">
        <v>21</v>
      </c>
      <c r="B31" s="166">
        <v>998234.79</v>
      </c>
      <c r="C31" s="166">
        <v>2248195.16</v>
      </c>
      <c r="D31" s="166">
        <v>1548131.1</v>
      </c>
      <c r="E31" s="167">
        <f t="shared" si="0"/>
        <v>1.2521707142665304</v>
      </c>
      <c r="F31" s="168">
        <f t="shared" si="0"/>
        <v>-0.31138936354617897</v>
      </c>
    </row>
    <row r="32" spans="1:6" s="9" customFormat="1" ht="15" customHeight="1" x14ac:dyDescent="0.35">
      <c r="A32" s="165" t="s">
        <v>22</v>
      </c>
      <c r="B32" s="166">
        <v>13460.92</v>
      </c>
      <c r="C32" s="166">
        <v>15972.59</v>
      </c>
      <c r="D32" s="166">
        <v>14687.4</v>
      </c>
      <c r="E32" s="167">
        <f t="shared" si="0"/>
        <v>0.18658977246726072</v>
      </c>
      <c r="F32" s="168">
        <f t="shared" si="0"/>
        <v>-8.0462216835215816E-2</v>
      </c>
    </row>
    <row r="33" spans="1:6" s="9" customFormat="1" ht="15" customHeight="1" x14ac:dyDescent="0.35">
      <c r="A33" s="165" t="s">
        <v>23</v>
      </c>
      <c r="B33" s="166">
        <v>654174.65</v>
      </c>
      <c r="C33" s="166">
        <v>730183.58</v>
      </c>
      <c r="D33" s="166">
        <v>870453.06</v>
      </c>
      <c r="E33" s="167">
        <f t="shared" si="0"/>
        <v>0.11619057693537949</v>
      </c>
      <c r="F33" s="168">
        <f t="shared" si="0"/>
        <v>0.19210166298179443</v>
      </c>
    </row>
    <row r="34" spans="1:6" s="9" customFormat="1" ht="15" customHeight="1" x14ac:dyDescent="0.35">
      <c r="A34" s="165" t="s">
        <v>24</v>
      </c>
      <c r="B34" s="166"/>
      <c r="C34" s="166"/>
      <c r="D34" s="166"/>
      <c r="E34" s="167" t="str">
        <f t="shared" si="0"/>
        <v/>
      </c>
      <c r="F34" s="168" t="str">
        <f t="shared" si="0"/>
        <v/>
      </c>
    </row>
    <row r="35" spans="1:6" s="9" customFormat="1" ht="15" customHeight="1" x14ac:dyDescent="0.35">
      <c r="A35" s="165" t="s">
        <v>25</v>
      </c>
      <c r="B35" s="166">
        <v>716135.36</v>
      </c>
      <c r="C35" s="166">
        <v>569402.69999999995</v>
      </c>
      <c r="D35" s="166">
        <v>774840.55</v>
      </c>
      <c r="E35" s="167">
        <f t="shared" si="0"/>
        <v>-0.2048951471967535</v>
      </c>
      <c r="F35" s="168">
        <f t="shared" si="0"/>
        <v>0.36079535625665304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5044348.9399999995</v>
      </c>
      <c r="C37" s="172">
        <v>5509051.8500000006</v>
      </c>
      <c r="D37" s="172">
        <v>5685065.3099999996</v>
      </c>
      <c r="E37" s="169">
        <f t="shared" si="0"/>
        <v>9.212346638335478E-2</v>
      </c>
      <c r="F37" s="170">
        <f t="shared" si="0"/>
        <v>3.1949864476225498E-2</v>
      </c>
    </row>
    <row r="38" spans="1:6" s="7" customFormat="1" ht="15" customHeight="1" x14ac:dyDescent="0.35">
      <c r="A38" s="173" t="s">
        <v>70</v>
      </c>
      <c r="B38" s="174">
        <v>4828873.25</v>
      </c>
      <c r="C38" s="174">
        <v>5307300.13</v>
      </c>
      <c r="D38" s="174">
        <v>5532107.29</v>
      </c>
      <c r="E38" s="169">
        <f t="shared" si="0"/>
        <v>9.9076296939456743E-2</v>
      </c>
      <c r="F38" s="170">
        <f t="shared" si="0"/>
        <v>4.2358101952677751E-2</v>
      </c>
    </row>
    <row r="39" spans="1:6" s="10" customFormat="1" ht="15" customHeight="1" x14ac:dyDescent="0.35">
      <c r="A39" s="171" t="s">
        <v>78</v>
      </c>
      <c r="B39" s="172">
        <v>1811927.7000000002</v>
      </c>
      <c r="C39" s="172">
        <v>1402770.18</v>
      </c>
      <c r="D39" s="172">
        <v>1546721.4300000002</v>
      </c>
      <c r="E39" s="169">
        <f t="shared" si="0"/>
        <v>-0.22581338096437298</v>
      </c>
      <c r="F39" s="170">
        <f t="shared" si="0"/>
        <v>0.10261926868163118</v>
      </c>
    </row>
    <row r="40" spans="1:6" s="10" customFormat="1" ht="15" customHeight="1" x14ac:dyDescent="0.35">
      <c r="A40" s="175" t="s">
        <v>79</v>
      </c>
      <c r="B40" s="176">
        <f>2601418.56-525</f>
        <v>2600893.56</v>
      </c>
      <c r="C40" s="176">
        <v>2931571.9199999995</v>
      </c>
      <c r="D40" s="176">
        <v>3184200.9000000004</v>
      </c>
      <c r="E40" s="177">
        <f t="shared" si="0"/>
        <v>0.12714028943191336</v>
      </c>
      <c r="F40" s="178">
        <f t="shared" si="0"/>
        <v>8.6175262587452117E-2</v>
      </c>
    </row>
    <row r="41" spans="1:6" ht="15" customHeight="1" x14ac:dyDescent="0.35">
      <c r="A41" s="31" t="s">
        <v>75</v>
      </c>
      <c r="B41" s="23">
        <f>+B30+B37+B39+B40</f>
        <v>11839175.92</v>
      </c>
      <c r="C41" s="23">
        <f>+C30+C37+C39+C40</f>
        <v>13407147.98</v>
      </c>
      <c r="D41" s="23">
        <f>+D30+D37+D39+D40</f>
        <v>13624099.75</v>
      </c>
      <c r="E41" s="24">
        <f t="shared" si="0"/>
        <v>0.13243929058873216</v>
      </c>
      <c r="F41" s="32">
        <f t="shared" si="0"/>
        <v>1.6181798718387874E-2</v>
      </c>
    </row>
    <row r="42" spans="1:6" ht="15" customHeight="1" x14ac:dyDescent="0.35">
      <c r="A42" s="33" t="s">
        <v>67</v>
      </c>
      <c r="B42" s="23">
        <v>1933698.18</v>
      </c>
      <c r="C42" s="23">
        <v>1162179.29</v>
      </c>
      <c r="D42" s="23">
        <v>1118440.2199999997</v>
      </c>
      <c r="E42" s="24">
        <f t="shared" si="0"/>
        <v>-0.39898620062826973</v>
      </c>
      <c r="F42" s="32">
        <f t="shared" si="0"/>
        <v>-3.7635389286622245E-2</v>
      </c>
    </row>
    <row r="43" spans="1:6" ht="15" customHeight="1" x14ac:dyDescent="0.35">
      <c r="A43" s="33" t="s">
        <v>68</v>
      </c>
      <c r="B43" s="23">
        <v>7000</v>
      </c>
      <c r="C43" s="23"/>
      <c r="D43" s="23">
        <v>346.62</v>
      </c>
      <c r="E43" s="24">
        <f t="shared" si="0"/>
        <v>-1</v>
      </c>
      <c r="F43" s="32" t="str">
        <f t="shared" si="0"/>
        <v/>
      </c>
    </row>
    <row r="44" spans="1:6" ht="15" customHeight="1" x14ac:dyDescent="0.35">
      <c r="A44" s="33" t="s">
        <v>69</v>
      </c>
      <c r="B44" s="23"/>
      <c r="C44" s="23"/>
      <c r="D44" s="23">
        <v>262537.17</v>
      </c>
      <c r="E44" s="24" t="str">
        <f t="shared" si="0"/>
        <v/>
      </c>
      <c r="F44" s="32" t="str">
        <f t="shared" si="0"/>
        <v/>
      </c>
    </row>
    <row r="45" spans="1:6" ht="15" customHeight="1" x14ac:dyDescent="0.35">
      <c r="A45" s="186" t="s">
        <v>80</v>
      </c>
      <c r="B45" s="187">
        <v>6136651.2400000002</v>
      </c>
      <c r="C45" s="187">
        <v>6374240.7699999996</v>
      </c>
      <c r="D45" s="187">
        <v>6275829.75</v>
      </c>
      <c r="E45" s="188">
        <f t="shared" si="0"/>
        <v>3.8716479185152419E-2</v>
      </c>
      <c r="F45" s="189">
        <f t="shared" si="0"/>
        <v>-1.5438861434786899E-2</v>
      </c>
    </row>
    <row r="46" spans="1:6" ht="15" customHeight="1" x14ac:dyDescent="0.35">
      <c r="A46" s="171" t="s">
        <v>81</v>
      </c>
      <c r="B46" s="190">
        <v>127731.15</v>
      </c>
      <c r="C46" s="190">
        <v>165569.85999999999</v>
      </c>
      <c r="D46" s="190">
        <v>504395.73</v>
      </c>
      <c r="E46" s="191">
        <f t="shared" si="0"/>
        <v>0.29623713557734344</v>
      </c>
      <c r="F46" s="192">
        <f t="shared" si="0"/>
        <v>2.0464223983761296</v>
      </c>
    </row>
    <row r="47" spans="1:6" ht="15" customHeight="1" x14ac:dyDescent="0.35">
      <c r="A47" s="175" t="s">
        <v>82</v>
      </c>
      <c r="B47" s="193">
        <v>23092.240000000002</v>
      </c>
      <c r="C47" s="193">
        <v>111017.83</v>
      </c>
      <c r="D47" s="193">
        <v>25198.69</v>
      </c>
      <c r="E47" s="194">
        <f t="shared" si="0"/>
        <v>3.8075816811188519</v>
      </c>
      <c r="F47" s="195">
        <f t="shared" si="0"/>
        <v>-0.7730212345170141</v>
      </c>
    </row>
    <row r="48" spans="1:6" ht="15" customHeight="1" thickBot="1" x14ac:dyDescent="0.4">
      <c r="A48" s="90" t="s">
        <v>83</v>
      </c>
      <c r="B48" s="91">
        <v>6287474.6299999999</v>
      </c>
      <c r="C48" s="91">
        <v>6650828.46</v>
      </c>
      <c r="D48" s="91">
        <v>6805424.1699999999</v>
      </c>
      <c r="E48" s="92">
        <f t="shared" si="0"/>
        <v>5.7790106741154368E-2</v>
      </c>
      <c r="F48" s="79">
        <f t="shared" si="0"/>
        <v>2.3244579367786011E-2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33985832.57</v>
      </c>
      <c r="C49" s="97">
        <f>C27+C28+C41+C42+C43+C44+C48</f>
        <v>36742408.030000001</v>
      </c>
      <c r="D49" s="97">
        <f>D27+D28+D41+D42+D43+D44+D48</f>
        <v>37287303.130000003</v>
      </c>
      <c r="E49" s="98">
        <f t="shared" si="0"/>
        <v>8.1109546288805179E-2</v>
      </c>
      <c r="F49" s="99">
        <f t="shared" si="0"/>
        <v>1.4830141224143389E-2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17750211.220000003</v>
      </c>
      <c r="C51" s="58">
        <f>+C11</f>
        <v>19633243.710000001</v>
      </c>
      <c r="D51" s="44">
        <f>+D11</f>
        <v>21394588.77</v>
      </c>
      <c r="E51" s="59">
        <f t="shared" si="0"/>
        <v>0.10608507508227816</v>
      </c>
      <c r="F51" s="28">
        <f t="shared" si="0"/>
        <v>8.971238201983267E-2</v>
      </c>
    </row>
    <row r="52" spans="1:7" ht="15" customHeight="1" x14ac:dyDescent="0.35">
      <c r="A52" s="40" t="s">
        <v>9</v>
      </c>
      <c r="B52" s="45">
        <f>+B28</f>
        <v>2281899.0699999998</v>
      </c>
      <c r="C52" s="49">
        <f>+C28</f>
        <v>2790944.1599999997</v>
      </c>
      <c r="D52" s="45">
        <f>+D28</f>
        <v>2629193.1399999997</v>
      </c>
      <c r="E52" s="53">
        <f t="shared" si="0"/>
        <v>0.22307958169245401</v>
      </c>
      <c r="F52" s="30">
        <f t="shared" si="0"/>
        <v>-5.7955663290662152E-2</v>
      </c>
    </row>
    <row r="53" spans="1:7" ht="15" customHeight="1" x14ac:dyDescent="0.35">
      <c r="A53" s="40" t="s">
        <v>10</v>
      </c>
      <c r="B53" s="45">
        <f>+B41</f>
        <v>11839175.92</v>
      </c>
      <c r="C53" s="49">
        <f>+C41</f>
        <v>13407147.98</v>
      </c>
      <c r="D53" s="45">
        <f>+D41</f>
        <v>13624099.75</v>
      </c>
      <c r="E53" s="53">
        <f t="shared" si="0"/>
        <v>0.13243929058873216</v>
      </c>
      <c r="F53" s="30">
        <f t="shared" si="0"/>
        <v>1.6181798718387874E-2</v>
      </c>
    </row>
    <row r="54" spans="1:7" s="3" customFormat="1" ht="15" customHeight="1" x14ac:dyDescent="0.35">
      <c r="A54" s="41" t="s">
        <v>11</v>
      </c>
      <c r="B54" s="46">
        <f>B51-B52-B53</f>
        <v>3629136.2300000023</v>
      </c>
      <c r="C54" s="50">
        <f t="shared" ref="C54:D54" si="6">C51-C52-C53</f>
        <v>3435151.5700000003</v>
      </c>
      <c r="D54" s="46">
        <f t="shared" si="6"/>
        <v>5141295.879999999</v>
      </c>
      <c r="E54" s="54">
        <f t="shared" si="0"/>
        <v>-5.3452019352825952E-2</v>
      </c>
      <c r="F54" s="34">
        <f t="shared" si="0"/>
        <v>0.49667220651925947</v>
      </c>
      <c r="G54" s="4"/>
    </row>
    <row r="55" spans="1:7" ht="15" customHeight="1" x14ac:dyDescent="0.35">
      <c r="A55" s="40" t="s">
        <v>12</v>
      </c>
      <c r="B55" s="45">
        <f>B15</f>
        <v>9471986</v>
      </c>
      <c r="C55" s="49">
        <f>C15</f>
        <v>12041479.9</v>
      </c>
      <c r="D55" s="45">
        <f>D15</f>
        <v>11384026.310000001</v>
      </c>
      <c r="E55" s="53">
        <f t="shared" si="0"/>
        <v>0.27127298330043992</v>
      </c>
      <c r="F55" s="30">
        <f t="shared" si="0"/>
        <v>-5.459906884036736E-2</v>
      </c>
    </row>
    <row r="56" spans="1:7" ht="15" customHeight="1" x14ac:dyDescent="0.35">
      <c r="A56" s="40" t="s">
        <v>13</v>
      </c>
      <c r="B56" s="45">
        <f>B27</f>
        <v>11636584.77</v>
      </c>
      <c r="C56" s="49">
        <f>C27</f>
        <v>12731308.140000001</v>
      </c>
      <c r="D56" s="45">
        <f>D27</f>
        <v>12847262.060000001</v>
      </c>
      <c r="E56" s="53">
        <f t="shared" si="0"/>
        <v>9.4076001819905164E-2</v>
      </c>
      <c r="F56" s="30">
        <f t="shared" si="0"/>
        <v>9.1077773568051246E-3</v>
      </c>
    </row>
    <row r="57" spans="1:7" ht="15" customHeight="1" x14ac:dyDescent="0.35">
      <c r="A57" s="40" t="s">
        <v>14</v>
      </c>
      <c r="B57" s="45">
        <f>B42+B43</f>
        <v>1940698.18</v>
      </c>
      <c r="C57" s="49">
        <f t="shared" ref="C57:D57" si="7">C42+C43</f>
        <v>1162179.29</v>
      </c>
      <c r="D57" s="45">
        <f t="shared" si="7"/>
        <v>1118786.8399999999</v>
      </c>
      <c r="E57" s="53">
        <f t="shared" si="0"/>
        <v>-0.40115402694920854</v>
      </c>
      <c r="F57" s="30">
        <f t="shared" si="0"/>
        <v>-3.7337139263598607E-2</v>
      </c>
    </row>
    <row r="58" spans="1:7" s="3" customFormat="1" ht="15" customHeight="1" x14ac:dyDescent="0.35">
      <c r="A58" s="42" t="s">
        <v>15</v>
      </c>
      <c r="B58" s="47">
        <f>+B54+B55-B56-B57</f>
        <v>-476160.71999999718</v>
      </c>
      <c r="C58" s="51">
        <f>+C54+C55-C56-C57</f>
        <v>1583144.04</v>
      </c>
      <c r="D58" s="47">
        <f t="shared" ref="D58" si="8">+D54+D55-D56-D57</f>
        <v>2559273.2899999991</v>
      </c>
      <c r="E58" s="55">
        <f t="shared" si="0"/>
        <v>-4.3248102447425936</v>
      </c>
      <c r="F58" s="35">
        <f t="shared" si="0"/>
        <v>0.61657639819052656</v>
      </c>
      <c r="G58" s="4"/>
    </row>
    <row r="59" spans="1:7" ht="15" customHeight="1" x14ac:dyDescent="0.35">
      <c r="A59" s="40" t="s">
        <v>16</v>
      </c>
      <c r="B59" s="45">
        <f t="shared" ref="B59:D60" si="9">B20</f>
        <v>5638550.4899999993</v>
      </c>
      <c r="C59" s="49">
        <f t="shared" si="9"/>
        <v>5684146.96</v>
      </c>
      <c r="D59" s="45">
        <f t="shared" si="9"/>
        <v>5591991.79</v>
      </c>
      <c r="E59" s="53">
        <f t="shared" si="0"/>
        <v>8.0865587850753595E-3</v>
      </c>
      <c r="F59" s="30">
        <f t="shared" si="0"/>
        <v>-1.6212664916742447E-2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1713.03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6287474.6299999999</v>
      </c>
      <c r="C61" s="49">
        <f t="shared" ref="C61:D61" si="10">C48</f>
        <v>6650828.46</v>
      </c>
      <c r="D61" s="45">
        <f t="shared" si="10"/>
        <v>6805424.1699999999</v>
      </c>
      <c r="E61" s="53">
        <f t="shared" si="0"/>
        <v>5.7790106741154368E-2</v>
      </c>
      <c r="F61" s="30">
        <f t="shared" si="0"/>
        <v>2.3244579367786011E-2</v>
      </c>
    </row>
    <row r="62" spans="1:7" ht="15" customHeight="1" x14ac:dyDescent="0.35">
      <c r="A62" s="40" t="s">
        <v>19</v>
      </c>
      <c r="B62" s="45">
        <f>B44</f>
        <v>0</v>
      </c>
      <c r="C62" s="49">
        <f t="shared" ref="C62:D62" si="11">C44</f>
        <v>0</v>
      </c>
      <c r="D62" s="45">
        <f t="shared" si="11"/>
        <v>262537.17</v>
      </c>
      <c r="E62" s="53" t="e">
        <f t="shared" si="0"/>
        <v>#DIV/0!</v>
      </c>
      <c r="F62" s="30" t="e">
        <f t="shared" si="0"/>
        <v>#DIV/0!</v>
      </c>
    </row>
    <row r="63" spans="1:7" s="3" customFormat="1" ht="15" customHeight="1" thickBot="1" x14ac:dyDescent="0.4">
      <c r="A63" s="43" t="s">
        <v>20</v>
      </c>
      <c r="B63" s="48">
        <f>B58+B59+B60-B61-B62</f>
        <v>-1125084.8599999975</v>
      </c>
      <c r="C63" s="52">
        <f t="shared" ref="C63:D63" si="12">C58+C59+C60-C61-C62</f>
        <v>616462.54</v>
      </c>
      <c r="D63" s="48">
        <f t="shared" si="12"/>
        <v>1085016.7699999996</v>
      </c>
      <c r="E63" s="56">
        <f t="shared" si="0"/>
        <v>-1.5479253716026375</v>
      </c>
      <c r="F63" s="36">
        <f t="shared" si="0"/>
        <v>0.7600692655226049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6136651.2400000002</v>
      </c>
      <c r="C65" s="26">
        <f t="shared" ref="C65:D65" si="13">C45</f>
        <v>6374240.7699999996</v>
      </c>
      <c r="D65" s="26">
        <f t="shared" si="13"/>
        <v>6275829.75</v>
      </c>
      <c r="E65" s="27">
        <f t="shared" ref="E65:E66" si="14">+IF(ISBLANK(B65),"",+C65/B65-1)</f>
        <v>3.8716479185152419E-2</v>
      </c>
      <c r="F65" s="28">
        <f t="shared" ref="F65:F66" si="15">+IF(ISBLANK(C65),"",+D65/C65-1)</f>
        <v>-1.5438861434786899E-2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5447199.8899999997</v>
      </c>
      <c r="C66" s="19">
        <f t="shared" si="16"/>
        <v>5432165.0099999998</v>
      </c>
      <c r="D66" s="19">
        <f t="shared" si="16"/>
        <v>5323526.93</v>
      </c>
      <c r="E66" s="20">
        <f t="shared" si="14"/>
        <v>-2.7601116727148378E-3</v>
      </c>
      <c r="F66" s="30">
        <f t="shared" si="15"/>
        <v>-1.9999039020355491E-2</v>
      </c>
    </row>
    <row r="67" spans="1:6" ht="15" customHeight="1" thickBot="1" x14ac:dyDescent="0.4">
      <c r="A67" s="207" t="s">
        <v>85</v>
      </c>
      <c r="B67" s="208">
        <f>B65-B66</f>
        <v>689451.35000000056</v>
      </c>
      <c r="C67" s="208">
        <f t="shared" ref="C67:D67" si="17">C65-C66</f>
        <v>942075.75999999978</v>
      </c>
      <c r="D67" s="208">
        <f t="shared" si="17"/>
        <v>952302.8200000003</v>
      </c>
      <c r="E67" s="209">
        <f>+IF(ISBLANK(B67),"",+C67/B67-1)</f>
        <v>0.36641368531659135</v>
      </c>
      <c r="F67" s="210">
        <f>+IF(ISBLANK(C67),"",+D67/C67-1)</f>
        <v>1.0855878512361361E-2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C610F-D2AE-45C5-AEAE-878C4B4B4916}">
  <sheetPr>
    <tabColor theme="5" tint="0.79998168889431442"/>
    <pageSetUpPr fitToPage="1"/>
  </sheetPr>
  <dimension ref="A1:G72"/>
  <sheetViews>
    <sheetView topLeftCell="A8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51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32230477.219999999</v>
      </c>
      <c r="C6" s="102">
        <v>32239266.780000001</v>
      </c>
      <c r="D6" s="101">
        <v>32763518.989999998</v>
      </c>
      <c r="E6" s="103">
        <f>+IF(ISBLANK(B6),"",+C6/B6-1)</f>
        <v>2.727095829206938E-4</v>
      </c>
      <c r="F6" s="104">
        <f>+IF(ISBLANK(C6),"",+D6/C6-1)</f>
        <v>1.6261294451188402E-2</v>
      </c>
    </row>
    <row r="7" spans="1:6" ht="15" customHeight="1" x14ac:dyDescent="0.35">
      <c r="A7" s="105" t="s">
        <v>2</v>
      </c>
      <c r="B7" s="106">
        <v>8540234.4800000004</v>
      </c>
      <c r="C7" s="107">
        <v>9709036.4700000007</v>
      </c>
      <c r="D7" s="106">
        <v>10230071.380000001</v>
      </c>
      <c r="E7" s="108">
        <f t="shared" ref="E7:F63" si="0">+IF(ISBLANK(B7),"",+C7/B7-1)</f>
        <v>0.13685830204512128</v>
      </c>
      <c r="F7" s="109">
        <f t="shared" si="0"/>
        <v>5.3664945188943047E-2</v>
      </c>
    </row>
    <row r="8" spans="1:6" ht="15" customHeight="1" x14ac:dyDescent="0.35">
      <c r="A8" s="105" t="s">
        <v>4</v>
      </c>
      <c r="B8" s="106">
        <v>162622.24</v>
      </c>
      <c r="C8" s="107">
        <v>158777.91</v>
      </c>
      <c r="D8" s="106">
        <v>139151.82</v>
      </c>
      <c r="E8" s="108">
        <f t="shared" si="0"/>
        <v>-2.3639632561942236E-2</v>
      </c>
      <c r="F8" s="109">
        <f t="shared" si="0"/>
        <v>-0.12360718188065323</v>
      </c>
    </row>
    <row r="9" spans="1:6" ht="15" customHeight="1" x14ac:dyDescent="0.35">
      <c r="A9" s="105" t="s">
        <v>3</v>
      </c>
      <c r="B9" s="106">
        <v>794367.91</v>
      </c>
      <c r="C9" s="107">
        <v>849967.2</v>
      </c>
      <c r="D9" s="106">
        <v>504301.31</v>
      </c>
      <c r="E9" s="108">
        <f t="shared" si="0"/>
        <v>6.9991863090239859E-2</v>
      </c>
      <c r="F9" s="109">
        <f t="shared" si="0"/>
        <v>-0.40668144606050682</v>
      </c>
    </row>
    <row r="10" spans="1:6" ht="15" customHeight="1" x14ac:dyDescent="0.35">
      <c r="A10" s="110" t="s">
        <v>5</v>
      </c>
      <c r="B10" s="111">
        <v>1280851.3799999999</v>
      </c>
      <c r="C10" s="112">
        <v>942388.76</v>
      </c>
      <c r="D10" s="111">
        <v>1587569.76</v>
      </c>
      <c r="E10" s="113">
        <f t="shared" si="0"/>
        <v>-0.26424815968890936</v>
      </c>
      <c r="F10" s="114">
        <f t="shared" si="0"/>
        <v>0.68462297873756484</v>
      </c>
    </row>
    <row r="11" spans="1:6" s="3" customFormat="1" ht="15" customHeight="1" x14ac:dyDescent="0.35">
      <c r="A11" s="64" t="s">
        <v>62</v>
      </c>
      <c r="B11" s="67">
        <f>SUM(B6:B10)</f>
        <v>43008553.230000004</v>
      </c>
      <c r="C11" s="70">
        <f t="shared" ref="C11:D11" si="1">SUM(C6:C10)</f>
        <v>43899437.119999997</v>
      </c>
      <c r="D11" s="67">
        <f t="shared" si="1"/>
        <v>45224613.259999998</v>
      </c>
      <c r="E11" s="73">
        <f t="shared" si="0"/>
        <v>2.0714109708265482E-2</v>
      </c>
      <c r="F11" s="38">
        <f t="shared" si="0"/>
        <v>3.0186631695928279E-2</v>
      </c>
    </row>
    <row r="12" spans="1:6" ht="15" customHeight="1" x14ac:dyDescent="0.35">
      <c r="A12" s="115" t="s">
        <v>29</v>
      </c>
      <c r="B12" s="116">
        <v>20775482</v>
      </c>
      <c r="C12" s="117">
        <v>28782918</v>
      </c>
      <c r="D12" s="116">
        <v>22023467</v>
      </c>
      <c r="E12" s="118">
        <f t="shared" si="0"/>
        <v>0.38542720693555999</v>
      </c>
      <c r="F12" s="119">
        <f t="shared" si="0"/>
        <v>-0.23484245065076448</v>
      </c>
    </row>
    <row r="13" spans="1:6" ht="15" customHeight="1" x14ac:dyDescent="0.35">
      <c r="A13" s="105" t="s">
        <v>60</v>
      </c>
      <c r="B13" s="106">
        <v>927772.14</v>
      </c>
      <c r="C13" s="107">
        <v>985344.45</v>
      </c>
      <c r="D13" s="106">
        <v>1024400.54</v>
      </c>
      <c r="E13" s="108">
        <f t="shared" si="0"/>
        <v>6.2054363908793375E-2</v>
      </c>
      <c r="F13" s="109">
        <f t="shared" si="0"/>
        <v>3.9636991916887521E-2</v>
      </c>
    </row>
    <row r="14" spans="1:6" ht="15" customHeight="1" x14ac:dyDescent="0.35">
      <c r="A14" s="110" t="s">
        <v>61</v>
      </c>
      <c r="B14" s="111">
        <v>312892.42000000179</v>
      </c>
      <c r="C14" s="112">
        <v>3733137.2700000005</v>
      </c>
      <c r="D14" s="111">
        <v>1559640.83</v>
      </c>
      <c r="E14" s="113">
        <f t="shared" si="0"/>
        <v>10.931056910870449</v>
      </c>
      <c r="F14" s="114">
        <f t="shared" si="0"/>
        <v>-0.58221712270441106</v>
      </c>
    </row>
    <row r="15" spans="1:6" s="3" customFormat="1" ht="15" customHeight="1" x14ac:dyDescent="0.35">
      <c r="A15" s="64" t="s">
        <v>63</v>
      </c>
      <c r="B15" s="67">
        <f>SUM(B12:B14)</f>
        <v>22016146.560000002</v>
      </c>
      <c r="C15" s="70">
        <f t="shared" ref="C15:D15" si="2">SUM(C12:C14)</f>
        <v>33501399.719999999</v>
      </c>
      <c r="D15" s="67">
        <f t="shared" si="2"/>
        <v>24607508.369999997</v>
      </c>
      <c r="E15" s="73">
        <f t="shared" si="0"/>
        <v>0.52167408718412878</v>
      </c>
      <c r="F15" s="38">
        <f t="shared" si="0"/>
        <v>-0.26547820163736136</v>
      </c>
    </row>
    <row r="16" spans="1:6" s="11" customFormat="1" ht="15" customHeight="1" x14ac:dyDescent="0.35">
      <c r="A16" s="120" t="s">
        <v>74</v>
      </c>
      <c r="B16" s="121">
        <v>4437770.71</v>
      </c>
      <c r="C16" s="122">
        <v>6420761.0999999996</v>
      </c>
      <c r="D16" s="121">
        <v>4686031.0599999996</v>
      </c>
      <c r="E16" s="123">
        <f t="shared" si="0"/>
        <v>0.44684381406447193</v>
      </c>
      <c r="F16" s="124">
        <f t="shared" si="0"/>
        <v>-0.27017514169776546</v>
      </c>
    </row>
    <row r="17" spans="1:6" s="11" customFormat="1" ht="15" customHeight="1" x14ac:dyDescent="0.35">
      <c r="A17" s="125" t="s">
        <v>71</v>
      </c>
      <c r="B17" s="126">
        <v>250065.71</v>
      </c>
      <c r="C17" s="127">
        <v>903200.47</v>
      </c>
      <c r="D17" s="126">
        <v>819388.95</v>
      </c>
      <c r="E17" s="128">
        <f t="shared" si="0"/>
        <v>2.6118525406782083</v>
      </c>
      <c r="F17" s="129">
        <f t="shared" si="0"/>
        <v>-9.2793928683407412E-2</v>
      </c>
    </row>
    <row r="18" spans="1:6" s="11" customFormat="1" ht="15" customHeight="1" x14ac:dyDescent="0.35">
      <c r="A18" s="125" t="s">
        <v>72</v>
      </c>
      <c r="B18" s="126">
        <v>157029.29</v>
      </c>
      <c r="C18" s="127">
        <v>122189.42</v>
      </c>
      <c r="D18" s="126">
        <v>209274.45</v>
      </c>
      <c r="E18" s="128">
        <f t="shared" si="0"/>
        <v>-0.22186860807942266</v>
      </c>
      <c r="F18" s="129">
        <f t="shared" si="0"/>
        <v>0.71270515892456165</v>
      </c>
    </row>
    <row r="19" spans="1:6" s="11" customFormat="1" ht="15" customHeight="1" x14ac:dyDescent="0.35">
      <c r="A19" s="130" t="s">
        <v>73</v>
      </c>
      <c r="B19" s="131">
        <v>185600.67</v>
      </c>
      <c r="C19" s="132">
        <v>206333.23</v>
      </c>
      <c r="D19" s="131">
        <v>218294.79</v>
      </c>
      <c r="E19" s="133">
        <f t="shared" si="0"/>
        <v>0.11170520020213281</v>
      </c>
      <c r="F19" s="134">
        <f t="shared" si="0"/>
        <v>5.7972048418958089E-2</v>
      </c>
    </row>
    <row r="20" spans="1:6" ht="15" customHeight="1" x14ac:dyDescent="0.35">
      <c r="A20" s="65" t="s">
        <v>84</v>
      </c>
      <c r="B20" s="68">
        <f>SUM(B16:B19)</f>
        <v>5030466.38</v>
      </c>
      <c r="C20" s="71">
        <f t="shared" ref="C20:D20" si="3">SUM(C16:C19)</f>
        <v>7652484.2199999997</v>
      </c>
      <c r="D20" s="68">
        <f t="shared" si="3"/>
        <v>5932989.25</v>
      </c>
      <c r="E20" s="74">
        <f t="shared" si="0"/>
        <v>0.52122758446901685</v>
      </c>
      <c r="F20" s="32">
        <f t="shared" si="0"/>
        <v>-0.22469761721377324</v>
      </c>
    </row>
    <row r="21" spans="1:6" ht="15" customHeight="1" thickBot="1" x14ac:dyDescent="0.4">
      <c r="A21" s="75" t="s">
        <v>64</v>
      </c>
      <c r="B21" s="76"/>
      <c r="C21" s="77"/>
      <c r="D21" s="76">
        <v>340.26</v>
      </c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70055166.170000002</v>
      </c>
      <c r="C22" s="87">
        <f>C11+C15+C20+C21</f>
        <v>85053321.060000002</v>
      </c>
      <c r="D22" s="86">
        <f>D11+D15+D20+D21</f>
        <v>75765451.140000001</v>
      </c>
      <c r="E22" s="88">
        <f t="shared" si="0"/>
        <v>0.21409063328184241</v>
      </c>
      <c r="F22" s="89">
        <f t="shared" si="0"/>
        <v>-0.10920055565435205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17254632.199999999</v>
      </c>
      <c r="C24" s="155">
        <v>18866403.119999997</v>
      </c>
      <c r="D24" s="155">
        <v>19413846.039999999</v>
      </c>
      <c r="E24" s="156">
        <f t="shared" si="0"/>
        <v>9.3410911418905673E-2</v>
      </c>
      <c r="F24" s="104">
        <f t="shared" si="0"/>
        <v>2.9016814520392842E-2</v>
      </c>
    </row>
    <row r="25" spans="1:6" ht="15" customHeight="1" x14ac:dyDescent="0.35">
      <c r="A25" s="157" t="s">
        <v>40</v>
      </c>
      <c r="B25" s="158">
        <v>8149714.0700000003</v>
      </c>
      <c r="C25" s="158">
        <v>8691481.3499999996</v>
      </c>
      <c r="D25" s="158">
        <v>8966150.3599999994</v>
      </c>
      <c r="E25" s="159">
        <f t="shared" si="0"/>
        <v>6.6476845119548988E-2</v>
      </c>
      <c r="F25" s="109">
        <f t="shared" si="0"/>
        <v>3.1602093928441821E-2</v>
      </c>
    </row>
    <row r="26" spans="1:6" ht="15" customHeight="1" x14ac:dyDescent="0.35">
      <c r="A26" s="160" t="s">
        <v>41</v>
      </c>
      <c r="B26" s="161">
        <v>379468.63999999996</v>
      </c>
      <c r="C26" s="161">
        <v>296372.80000000005</v>
      </c>
      <c r="D26" s="161">
        <v>446872.80999999994</v>
      </c>
      <c r="E26" s="162">
        <f t="shared" si="0"/>
        <v>-0.21897946560221659</v>
      </c>
      <c r="F26" s="114">
        <f t="shared" si="0"/>
        <v>0.50780641813283767</v>
      </c>
    </row>
    <row r="27" spans="1:6" ht="15" customHeight="1" x14ac:dyDescent="0.35">
      <c r="A27" s="31" t="s">
        <v>65</v>
      </c>
      <c r="B27" s="23">
        <f>B24+B25+B26</f>
        <v>25783814.91</v>
      </c>
      <c r="C27" s="23">
        <f t="shared" ref="C27:D27" si="4">C24+C25+C26</f>
        <v>27854257.27</v>
      </c>
      <c r="D27" s="23">
        <f t="shared" si="4"/>
        <v>28826869.209999997</v>
      </c>
      <c r="E27" s="24">
        <f t="shared" si="0"/>
        <v>8.0300078449484946E-2</v>
      </c>
      <c r="F27" s="32">
        <f t="shared" si="0"/>
        <v>3.4917891745314344E-2</v>
      </c>
    </row>
    <row r="28" spans="1:6" ht="15" customHeight="1" x14ac:dyDescent="0.35">
      <c r="A28" s="33" t="s">
        <v>66</v>
      </c>
      <c r="B28" s="23">
        <v>5838224.7300000004</v>
      </c>
      <c r="C28" s="23">
        <v>7509772.3200000003</v>
      </c>
      <c r="D28" s="23">
        <v>7965596.46</v>
      </c>
      <c r="E28" s="24">
        <f t="shared" si="0"/>
        <v>0.28631093650963302</v>
      </c>
      <c r="F28" s="32">
        <f t="shared" si="0"/>
        <v>6.0697464660286693E-2</v>
      </c>
    </row>
    <row r="29" spans="1:6" s="6" customFormat="1" ht="15" customHeight="1" x14ac:dyDescent="0.35">
      <c r="A29" s="182" t="s">
        <v>26</v>
      </c>
      <c r="B29" s="183">
        <v>5430029.6600000001</v>
      </c>
      <c r="C29" s="183">
        <v>7022149.3499999996</v>
      </c>
      <c r="D29" s="183">
        <v>7451018.5999999996</v>
      </c>
      <c r="E29" s="184">
        <f t="shared" si="0"/>
        <v>0.29320644447455924</v>
      </c>
      <c r="F29" s="185">
        <f t="shared" si="0"/>
        <v>6.1073786475361658E-2</v>
      </c>
    </row>
    <row r="30" spans="1:6" s="163" customFormat="1" ht="15" customHeight="1" x14ac:dyDescent="0.35">
      <c r="A30" s="171" t="s">
        <v>76</v>
      </c>
      <c r="B30" s="172">
        <f>SUM(B31:B36)</f>
        <v>9272119.1899999995</v>
      </c>
      <c r="C30" s="172">
        <f t="shared" ref="C30:D30" si="5">SUM(C31:C36)</f>
        <v>18164297.530000001</v>
      </c>
      <c r="D30" s="172">
        <f t="shared" si="5"/>
        <v>10754235.550000001</v>
      </c>
      <c r="E30" s="169">
        <f t="shared" si="0"/>
        <v>0.95902329961312782</v>
      </c>
      <c r="F30" s="170">
        <f t="shared" si="0"/>
        <v>-0.4079465207923183</v>
      </c>
    </row>
    <row r="31" spans="1:6" s="9" customFormat="1" ht="15" customHeight="1" x14ac:dyDescent="0.35">
      <c r="A31" s="165" t="s">
        <v>21</v>
      </c>
      <c r="B31" s="166">
        <v>3057340.09</v>
      </c>
      <c r="C31" s="166">
        <v>7820400.0800000001</v>
      </c>
      <c r="D31" s="166">
        <v>3877761.54</v>
      </c>
      <c r="E31" s="167">
        <f t="shared" si="0"/>
        <v>1.557909767898932</v>
      </c>
      <c r="F31" s="168">
        <f t="shared" si="0"/>
        <v>-0.50414793356710208</v>
      </c>
    </row>
    <row r="32" spans="1:6" s="9" customFormat="1" ht="15" customHeight="1" x14ac:dyDescent="0.35">
      <c r="A32" s="165" t="s">
        <v>22</v>
      </c>
      <c r="B32" s="166">
        <v>51644.11</v>
      </c>
      <c r="C32" s="166">
        <v>54835.07</v>
      </c>
      <c r="D32" s="166">
        <v>54108.2</v>
      </c>
      <c r="E32" s="167">
        <f t="shared" si="0"/>
        <v>6.178749135186945E-2</v>
      </c>
      <c r="F32" s="168">
        <f t="shared" si="0"/>
        <v>-1.3255568015140717E-2</v>
      </c>
    </row>
    <row r="33" spans="1:6" s="9" customFormat="1" ht="15" customHeight="1" x14ac:dyDescent="0.35">
      <c r="A33" s="165" t="s">
        <v>23</v>
      </c>
      <c r="B33" s="166">
        <v>3820232.64</v>
      </c>
      <c r="C33" s="166">
        <v>7276850.5700000003</v>
      </c>
      <c r="D33" s="166">
        <v>3651911.65</v>
      </c>
      <c r="E33" s="167">
        <f t="shared" si="0"/>
        <v>0.9048186997323806</v>
      </c>
      <c r="F33" s="168">
        <f t="shared" si="0"/>
        <v>-0.49814667556104564</v>
      </c>
    </row>
    <row r="34" spans="1:6" s="9" customFormat="1" ht="15" customHeight="1" x14ac:dyDescent="0.35">
      <c r="A34" s="165" t="s">
        <v>24</v>
      </c>
      <c r="B34" s="166">
        <v>347889.74</v>
      </c>
      <c r="C34" s="166">
        <v>1079089.25</v>
      </c>
      <c r="D34" s="166">
        <v>1130043.3</v>
      </c>
      <c r="E34" s="167">
        <f t="shared" si="0"/>
        <v>2.1018139540418757</v>
      </c>
      <c r="F34" s="168">
        <f t="shared" si="0"/>
        <v>4.7219495514388754E-2</v>
      </c>
    </row>
    <row r="35" spans="1:6" s="9" customFormat="1" ht="15" customHeight="1" x14ac:dyDescent="0.35">
      <c r="A35" s="165" t="s">
        <v>25</v>
      </c>
      <c r="B35" s="166">
        <v>1995012.61</v>
      </c>
      <c r="C35" s="166">
        <v>1933122.5600000001</v>
      </c>
      <c r="D35" s="166">
        <v>2040410.86</v>
      </c>
      <c r="E35" s="167">
        <f t="shared" si="0"/>
        <v>-3.1022385367278527E-2</v>
      </c>
      <c r="F35" s="168">
        <f t="shared" si="0"/>
        <v>5.5499998924020577E-2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11433365.649999999</v>
      </c>
      <c r="C37" s="172">
        <v>11467823.670000002</v>
      </c>
      <c r="D37" s="172">
        <v>10307573.15</v>
      </c>
      <c r="E37" s="169">
        <f t="shared" si="0"/>
        <v>3.0138124726206694E-3</v>
      </c>
      <c r="F37" s="170">
        <f t="shared" si="0"/>
        <v>-0.10117442972507806</v>
      </c>
    </row>
    <row r="38" spans="1:6" s="7" customFormat="1" ht="15" customHeight="1" x14ac:dyDescent="0.35">
      <c r="A38" s="173" t="s">
        <v>70</v>
      </c>
      <c r="B38" s="174">
        <v>11166090.639999999</v>
      </c>
      <c r="C38" s="174">
        <v>11205783.73</v>
      </c>
      <c r="D38" s="174">
        <v>10061846.91</v>
      </c>
      <c r="E38" s="169">
        <f t="shared" si="0"/>
        <v>3.55478844653212E-3</v>
      </c>
      <c r="F38" s="170">
        <f t="shared" si="0"/>
        <v>-0.10208449918031748</v>
      </c>
    </row>
    <row r="39" spans="1:6" s="10" customFormat="1" ht="15" customHeight="1" x14ac:dyDescent="0.35">
      <c r="A39" s="171" t="s">
        <v>78</v>
      </c>
      <c r="B39" s="172">
        <v>2430910.2199999997</v>
      </c>
      <c r="C39" s="172">
        <v>3477300.89</v>
      </c>
      <c r="D39" s="172">
        <v>3993776.56</v>
      </c>
      <c r="E39" s="169">
        <f t="shared" si="0"/>
        <v>0.43045220732174982</v>
      </c>
      <c r="F39" s="170">
        <f t="shared" si="0"/>
        <v>0.1485277479108229</v>
      </c>
    </row>
    <row r="40" spans="1:6" s="10" customFormat="1" ht="15" customHeight="1" x14ac:dyDescent="0.35">
      <c r="A40" s="175" t="s">
        <v>79</v>
      </c>
      <c r="B40" s="176">
        <v>3924188.6999999988</v>
      </c>
      <c r="C40" s="176">
        <v>3651359.8399999975</v>
      </c>
      <c r="D40" s="176">
        <v>3739162.9100000011</v>
      </c>
      <c r="E40" s="177">
        <f t="shared" si="0"/>
        <v>-6.9524908422472498E-2</v>
      </c>
      <c r="F40" s="178">
        <f t="shared" si="0"/>
        <v>2.404667681287842E-2</v>
      </c>
    </row>
    <row r="41" spans="1:6" ht="15" customHeight="1" x14ac:dyDescent="0.35">
      <c r="A41" s="31" t="s">
        <v>75</v>
      </c>
      <c r="B41" s="23">
        <f>+B30+B37+B39+B40</f>
        <v>27060583.759999994</v>
      </c>
      <c r="C41" s="23">
        <f>+C30+C37+C39+C40</f>
        <v>36760781.93</v>
      </c>
      <c r="D41" s="23">
        <f>+D30+D37+D39+D40</f>
        <v>28794748.170000002</v>
      </c>
      <c r="E41" s="24">
        <f t="shared" si="0"/>
        <v>0.35846226585616003</v>
      </c>
      <c r="F41" s="32">
        <f t="shared" si="0"/>
        <v>-0.21669924690853815</v>
      </c>
    </row>
    <row r="42" spans="1:6" ht="15" customHeight="1" x14ac:dyDescent="0.35">
      <c r="A42" s="33" t="s">
        <v>67</v>
      </c>
      <c r="B42" s="23">
        <v>1173675.5899999999</v>
      </c>
      <c r="C42" s="23">
        <v>1273843.51</v>
      </c>
      <c r="D42" s="23">
        <v>1367885.26</v>
      </c>
      <c r="E42" s="24">
        <f t="shared" si="0"/>
        <v>8.5345491423230557E-2</v>
      </c>
      <c r="F42" s="32">
        <f t="shared" si="0"/>
        <v>7.3825198512806223E-2</v>
      </c>
    </row>
    <row r="43" spans="1:6" ht="15" customHeight="1" x14ac:dyDescent="0.35">
      <c r="A43" s="33" t="s">
        <v>68</v>
      </c>
      <c r="B43" s="23">
        <v>1500793.17</v>
      </c>
      <c r="C43" s="23">
        <v>687692.78</v>
      </c>
      <c r="D43" s="23">
        <v>775864.51</v>
      </c>
      <c r="E43" s="24">
        <f t="shared" si="0"/>
        <v>-0.54178044400348646</v>
      </c>
      <c r="F43" s="32">
        <f t="shared" si="0"/>
        <v>0.12821383699855038</v>
      </c>
    </row>
    <row r="44" spans="1:6" ht="15" customHeight="1" x14ac:dyDescent="0.35">
      <c r="A44" s="33" t="s">
        <v>69</v>
      </c>
      <c r="B44" s="23">
        <v>163947.67000000001</v>
      </c>
      <c r="C44" s="23">
        <v>220498.77</v>
      </c>
      <c r="D44" s="23">
        <v>210500.15</v>
      </c>
      <c r="E44" s="24">
        <f t="shared" si="0"/>
        <v>0.34493384382955838</v>
      </c>
      <c r="F44" s="32">
        <f t="shared" si="0"/>
        <v>-4.5345468367011699E-2</v>
      </c>
    </row>
    <row r="45" spans="1:6" ht="15" customHeight="1" x14ac:dyDescent="0.35">
      <c r="A45" s="186" t="s">
        <v>80</v>
      </c>
      <c r="B45" s="187">
        <v>6309671.9500000002</v>
      </c>
      <c r="C45" s="187">
        <v>8421537.2100000009</v>
      </c>
      <c r="D45" s="187">
        <v>6675464.4000000004</v>
      </c>
      <c r="E45" s="188">
        <f t="shared" si="0"/>
        <v>0.33470286200853927</v>
      </c>
      <c r="F45" s="189">
        <f t="shared" si="0"/>
        <v>-0.20733421541220032</v>
      </c>
    </row>
    <row r="46" spans="1:6" ht="15" customHeight="1" x14ac:dyDescent="0.35">
      <c r="A46" s="171" t="s">
        <v>81</v>
      </c>
      <c r="B46" s="190">
        <v>733821.58</v>
      </c>
      <c r="C46" s="190">
        <v>226330.43</v>
      </c>
      <c r="D46" s="190">
        <v>815174.09</v>
      </c>
      <c r="E46" s="191">
        <f t="shared" si="0"/>
        <v>-0.69157294338495734</v>
      </c>
      <c r="F46" s="192">
        <f t="shared" si="0"/>
        <v>2.6016990291583859</v>
      </c>
    </row>
    <row r="47" spans="1:6" ht="15" customHeight="1" x14ac:dyDescent="0.35">
      <c r="A47" s="175" t="s">
        <v>82</v>
      </c>
      <c r="B47" s="193">
        <v>122189.42</v>
      </c>
      <c r="C47" s="193">
        <v>209274.45</v>
      </c>
      <c r="D47" s="193">
        <v>241191.5</v>
      </c>
      <c r="E47" s="194">
        <f t="shared" si="0"/>
        <v>0.71270515892456165</v>
      </c>
      <c r="F47" s="195">
        <f t="shared" si="0"/>
        <v>0.15251288439654243</v>
      </c>
    </row>
    <row r="48" spans="1:6" ht="15" customHeight="1" thickBot="1" x14ac:dyDescent="0.4">
      <c r="A48" s="90" t="s">
        <v>83</v>
      </c>
      <c r="B48" s="91">
        <v>7166214.4400000004</v>
      </c>
      <c r="C48" s="91">
        <v>8857142.0899999999</v>
      </c>
      <c r="D48" s="91">
        <v>7731829.9900000002</v>
      </c>
      <c r="E48" s="92">
        <f t="shared" si="0"/>
        <v>0.23595828232011429</v>
      </c>
      <c r="F48" s="79">
        <f t="shared" si="0"/>
        <v>-0.12705137713332082</v>
      </c>
    </row>
    <row r="49" spans="1:7" s="3" customFormat="1" ht="15" customHeight="1" thickBot="1" x14ac:dyDescent="0.4">
      <c r="A49" s="96" t="s">
        <v>28</v>
      </c>
      <c r="B49" s="97">
        <f>B27+B28+B41+B42+B43+B44+B48</f>
        <v>68687254.269999996</v>
      </c>
      <c r="C49" s="97">
        <f>C27+C28+C41+C42+C43+C44+C48</f>
        <v>83163988.670000017</v>
      </c>
      <c r="D49" s="97">
        <f>D27+D28+D41+D42+D43+D44+D48</f>
        <v>75673293.75</v>
      </c>
      <c r="E49" s="98">
        <f t="shared" si="0"/>
        <v>0.21076303826462484</v>
      </c>
      <c r="F49" s="99">
        <f t="shared" si="0"/>
        <v>-9.0071376322792385E-2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43008553.230000004</v>
      </c>
      <c r="C51" s="58">
        <f>+C11</f>
        <v>43899437.119999997</v>
      </c>
      <c r="D51" s="44">
        <f>+D11</f>
        <v>45224613.259999998</v>
      </c>
      <c r="E51" s="59">
        <f t="shared" si="0"/>
        <v>2.0714109708265482E-2</v>
      </c>
      <c r="F51" s="28">
        <f t="shared" si="0"/>
        <v>3.0186631695928279E-2</v>
      </c>
    </row>
    <row r="52" spans="1:7" ht="15" customHeight="1" x14ac:dyDescent="0.35">
      <c r="A52" s="40" t="s">
        <v>9</v>
      </c>
      <c r="B52" s="45">
        <f>+B28</f>
        <v>5838224.7300000004</v>
      </c>
      <c r="C52" s="49">
        <f>+C28</f>
        <v>7509772.3200000003</v>
      </c>
      <c r="D52" s="45">
        <f>+D28</f>
        <v>7965596.46</v>
      </c>
      <c r="E52" s="53">
        <f t="shared" si="0"/>
        <v>0.28631093650963302</v>
      </c>
      <c r="F52" s="30">
        <f t="shared" si="0"/>
        <v>6.0697464660286693E-2</v>
      </c>
    </row>
    <row r="53" spans="1:7" ht="15" customHeight="1" x14ac:dyDescent="0.35">
      <c r="A53" s="40" t="s">
        <v>10</v>
      </c>
      <c r="B53" s="45">
        <f>+B41</f>
        <v>27060583.759999994</v>
      </c>
      <c r="C53" s="49">
        <f>+C41</f>
        <v>36760781.93</v>
      </c>
      <c r="D53" s="45">
        <f>+D41</f>
        <v>28794748.170000002</v>
      </c>
      <c r="E53" s="53">
        <f t="shared" si="0"/>
        <v>0.35846226585616003</v>
      </c>
      <c r="F53" s="30">
        <f t="shared" si="0"/>
        <v>-0.21669924690853815</v>
      </c>
    </row>
    <row r="54" spans="1:7" s="3" customFormat="1" ht="15" customHeight="1" x14ac:dyDescent="0.35">
      <c r="A54" s="41" t="s">
        <v>11</v>
      </c>
      <c r="B54" s="46">
        <f>B51-B52-B53</f>
        <v>10109744.740000006</v>
      </c>
      <c r="C54" s="50">
        <f t="shared" ref="C54:D54" si="6">C51-C52-C53</f>
        <v>-371117.13000000268</v>
      </c>
      <c r="D54" s="46">
        <f t="shared" si="6"/>
        <v>8464268.6299999952</v>
      </c>
      <c r="E54" s="54">
        <f t="shared" si="0"/>
        <v>-1.036708852651012</v>
      </c>
      <c r="F54" s="34">
        <f t="shared" si="0"/>
        <v>-23.807539576521123</v>
      </c>
      <c r="G54" s="4"/>
    </row>
    <row r="55" spans="1:7" ht="15" customHeight="1" x14ac:dyDescent="0.35">
      <c r="A55" s="40" t="s">
        <v>12</v>
      </c>
      <c r="B55" s="45">
        <f>B15</f>
        <v>22016146.560000002</v>
      </c>
      <c r="C55" s="49">
        <f>C15</f>
        <v>33501399.719999999</v>
      </c>
      <c r="D55" s="45">
        <f>D15</f>
        <v>24607508.369999997</v>
      </c>
      <c r="E55" s="53">
        <f t="shared" si="0"/>
        <v>0.52167408718412878</v>
      </c>
      <c r="F55" s="30">
        <f t="shared" si="0"/>
        <v>-0.26547820163736136</v>
      </c>
    </row>
    <row r="56" spans="1:7" ht="15" customHeight="1" x14ac:dyDescent="0.35">
      <c r="A56" s="40" t="s">
        <v>13</v>
      </c>
      <c r="B56" s="45">
        <f>B27</f>
        <v>25783814.91</v>
      </c>
      <c r="C56" s="49">
        <f>C27</f>
        <v>27854257.27</v>
      </c>
      <c r="D56" s="45">
        <f>D27</f>
        <v>28826869.209999997</v>
      </c>
      <c r="E56" s="53">
        <f t="shared" si="0"/>
        <v>8.0300078449484946E-2</v>
      </c>
      <c r="F56" s="30">
        <f t="shared" si="0"/>
        <v>3.4917891745314344E-2</v>
      </c>
    </row>
    <row r="57" spans="1:7" ht="15" customHeight="1" x14ac:dyDescent="0.35">
      <c r="A57" s="40" t="s">
        <v>14</v>
      </c>
      <c r="B57" s="45">
        <f>B42+B43</f>
        <v>2674468.7599999998</v>
      </c>
      <c r="C57" s="49">
        <f t="shared" ref="C57:D57" si="7">C42+C43</f>
        <v>1961536.29</v>
      </c>
      <c r="D57" s="45">
        <f t="shared" si="7"/>
        <v>2143749.77</v>
      </c>
      <c r="E57" s="53">
        <f t="shared" si="0"/>
        <v>-0.26656975047261344</v>
      </c>
      <c r="F57" s="30">
        <f t="shared" si="0"/>
        <v>9.2893249504958142E-2</v>
      </c>
    </row>
    <row r="58" spans="1:7" s="3" customFormat="1" ht="15" customHeight="1" x14ac:dyDescent="0.35">
      <c r="A58" s="42" t="s">
        <v>15</v>
      </c>
      <c r="B58" s="47">
        <f>+B54+B55-B56-B57</f>
        <v>3667607.6300000083</v>
      </c>
      <c r="C58" s="51">
        <f>+C54+C55-C56-C57</f>
        <v>3314489.0299999965</v>
      </c>
      <c r="D58" s="47">
        <f t="shared" ref="D58" si="8">+D54+D55-D56-D57</f>
        <v>2101158.0199999954</v>
      </c>
      <c r="E58" s="55">
        <f t="shared" si="0"/>
        <v>-9.6280364647406635E-2</v>
      </c>
      <c r="F58" s="35">
        <f t="shared" si="0"/>
        <v>-0.36606879643225199</v>
      </c>
      <c r="G58" s="4"/>
    </row>
    <row r="59" spans="1:7" ht="15" customHeight="1" x14ac:dyDescent="0.35">
      <c r="A59" s="40" t="s">
        <v>16</v>
      </c>
      <c r="B59" s="45">
        <f t="shared" ref="B59:D60" si="9">B20</f>
        <v>5030466.38</v>
      </c>
      <c r="C59" s="49">
        <f t="shared" si="9"/>
        <v>7652484.2199999997</v>
      </c>
      <c r="D59" s="45">
        <f t="shared" si="9"/>
        <v>5932989.25</v>
      </c>
      <c r="E59" s="53">
        <f t="shared" si="0"/>
        <v>0.52122758446901685</v>
      </c>
      <c r="F59" s="30">
        <f t="shared" si="0"/>
        <v>-0.22469761721377324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340.26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7166214.4400000004</v>
      </c>
      <c r="C61" s="49">
        <f t="shared" ref="C61:D61" si="10">C48</f>
        <v>8857142.0899999999</v>
      </c>
      <c r="D61" s="45">
        <f t="shared" si="10"/>
        <v>7731829.9900000002</v>
      </c>
      <c r="E61" s="53">
        <f t="shared" si="0"/>
        <v>0.23595828232011429</v>
      </c>
      <c r="F61" s="30">
        <f t="shared" si="0"/>
        <v>-0.12705137713332082</v>
      </c>
    </row>
    <row r="62" spans="1:7" ht="15" customHeight="1" x14ac:dyDescent="0.35">
      <c r="A62" s="40" t="s">
        <v>19</v>
      </c>
      <c r="B62" s="45">
        <f>B44</f>
        <v>163947.67000000001</v>
      </c>
      <c r="C62" s="49">
        <f t="shared" ref="C62:D62" si="11">C44</f>
        <v>220498.77</v>
      </c>
      <c r="D62" s="45">
        <f t="shared" si="11"/>
        <v>210500.15</v>
      </c>
      <c r="E62" s="53">
        <f t="shared" si="0"/>
        <v>0.34493384382955838</v>
      </c>
      <c r="F62" s="30">
        <f t="shared" si="0"/>
        <v>-4.5345468367011699E-2</v>
      </c>
    </row>
    <row r="63" spans="1:7" s="3" customFormat="1" ht="15" customHeight="1" thickBot="1" x14ac:dyDescent="0.4">
      <c r="A63" s="43" t="s">
        <v>20</v>
      </c>
      <c r="B63" s="48">
        <f>B58+B59+B60-B61-B62</f>
        <v>1367911.9000000088</v>
      </c>
      <c r="C63" s="52">
        <f t="shared" ref="C63:D63" si="12">C58+C59+C60-C61-C62</f>
        <v>1889332.3899999964</v>
      </c>
      <c r="D63" s="48">
        <f t="shared" si="12"/>
        <v>92157.389999995386</v>
      </c>
      <c r="E63" s="56">
        <f t="shared" si="0"/>
        <v>0.38117987715435797</v>
      </c>
      <c r="F63" s="36">
        <f t="shared" si="0"/>
        <v>-0.95122224628775054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6309671.9500000002</v>
      </c>
      <c r="C65" s="26">
        <f t="shared" ref="C65:D65" si="13">C45</f>
        <v>8421537.2100000009</v>
      </c>
      <c r="D65" s="26">
        <f t="shared" si="13"/>
        <v>6675464.4000000004</v>
      </c>
      <c r="E65" s="27">
        <f t="shared" ref="E65:E66" si="14">+IF(ISBLANK(B65),"",+C65/B65-1)</f>
        <v>0.33470286200853927</v>
      </c>
      <c r="F65" s="28">
        <f t="shared" ref="F65:F66" si="15">+IF(ISBLANK(C65),"",+D65/C65-1)</f>
        <v>-0.20733421541220032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4437770.71</v>
      </c>
      <c r="C66" s="19">
        <f t="shared" si="16"/>
        <v>6420761.0999999996</v>
      </c>
      <c r="D66" s="19">
        <f t="shared" si="16"/>
        <v>4686031.0599999996</v>
      </c>
      <c r="E66" s="20">
        <f t="shared" si="14"/>
        <v>0.44684381406447193</v>
      </c>
      <c r="F66" s="30">
        <f t="shared" si="15"/>
        <v>-0.27017514169776546</v>
      </c>
    </row>
    <row r="67" spans="1:6" ht="15" customHeight="1" thickBot="1" x14ac:dyDescent="0.4">
      <c r="A67" s="207" t="s">
        <v>85</v>
      </c>
      <c r="B67" s="208">
        <f>B65-B66</f>
        <v>1871901.2400000002</v>
      </c>
      <c r="C67" s="208">
        <f t="shared" ref="C67:D67" si="17">C65-C66</f>
        <v>2000776.1100000013</v>
      </c>
      <c r="D67" s="208">
        <f t="shared" si="17"/>
        <v>1989433.3400000008</v>
      </c>
      <c r="E67" s="209">
        <f>+IF(ISBLANK(B67),"",+C67/B67-1)</f>
        <v>6.8847045584520705E-2</v>
      </c>
      <c r="F67" s="210">
        <f>+IF(ISBLANK(C67),"",+D67/C67-1)</f>
        <v>-5.6691850443978398E-3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4F5E1-61CA-46A7-91B6-26AB39C90AF4}">
  <sheetPr>
    <tabColor theme="5" tint="0.79998168889431442"/>
    <pageSetUpPr fitToPage="1"/>
  </sheetPr>
  <dimension ref="A1:G72"/>
  <sheetViews>
    <sheetView topLeftCell="A13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52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20324598.789999999</v>
      </c>
      <c r="C6" s="102">
        <v>20749582.109999999</v>
      </c>
      <c r="D6" s="101">
        <v>21046784.710000001</v>
      </c>
      <c r="E6" s="103">
        <f>+IF(ISBLANK(B6),"",+C6/B6-1)</f>
        <v>2.0909801191701716E-2</v>
      </c>
      <c r="F6" s="104">
        <f>+IF(ISBLANK(C6),"",+D6/C6-1)</f>
        <v>1.4323305328485025E-2</v>
      </c>
    </row>
    <row r="7" spans="1:6" ht="15" customHeight="1" x14ac:dyDescent="0.35">
      <c r="A7" s="105" t="s">
        <v>2</v>
      </c>
      <c r="B7" s="106">
        <v>3810810.61</v>
      </c>
      <c r="C7" s="107">
        <v>4218098.34</v>
      </c>
      <c r="D7" s="106">
        <v>4093161.81</v>
      </c>
      <c r="E7" s="108">
        <f t="shared" ref="E7:F63" si="0">+IF(ISBLANK(B7),"",+C7/B7-1)</f>
        <v>0.106876927688621</v>
      </c>
      <c r="F7" s="109">
        <f t="shared" si="0"/>
        <v>-2.9619160088145247E-2</v>
      </c>
    </row>
    <row r="8" spans="1:6" ht="15" customHeight="1" x14ac:dyDescent="0.35">
      <c r="A8" s="105" t="s">
        <v>4</v>
      </c>
      <c r="B8" s="106">
        <v>124313.19</v>
      </c>
      <c r="C8" s="107">
        <v>117886.56</v>
      </c>
      <c r="D8" s="106">
        <v>112674.61</v>
      </c>
      <c r="E8" s="108">
        <f t="shared" si="0"/>
        <v>-5.1697088619477971E-2</v>
      </c>
      <c r="F8" s="109">
        <f t="shared" si="0"/>
        <v>-4.4211570852521254E-2</v>
      </c>
    </row>
    <row r="9" spans="1:6" ht="15" customHeight="1" x14ac:dyDescent="0.35">
      <c r="A9" s="105" t="s">
        <v>3</v>
      </c>
      <c r="B9" s="106">
        <v>487684.76</v>
      </c>
      <c r="C9" s="107">
        <v>565453.93000000005</v>
      </c>
      <c r="D9" s="106">
        <v>323500.12</v>
      </c>
      <c r="E9" s="108">
        <f t="shared" si="0"/>
        <v>0.15946606574296074</v>
      </c>
      <c r="F9" s="109">
        <f t="shared" si="0"/>
        <v>-0.42789305576141279</v>
      </c>
    </row>
    <row r="10" spans="1:6" ht="15" customHeight="1" x14ac:dyDescent="0.35">
      <c r="A10" s="110" t="s">
        <v>5</v>
      </c>
      <c r="B10" s="111">
        <v>153013.07</v>
      </c>
      <c r="C10" s="112">
        <f>792558.23+2249.22</f>
        <v>794807.45</v>
      </c>
      <c r="D10" s="111">
        <f>777408.31+2060+18837.78</f>
        <v>798306.09000000008</v>
      </c>
      <c r="E10" s="113">
        <f t="shared" si="0"/>
        <v>4.1943762059018876</v>
      </c>
      <c r="F10" s="114">
        <f t="shared" si="0"/>
        <v>4.4018711701809821E-3</v>
      </c>
    </row>
    <row r="11" spans="1:6" s="3" customFormat="1" ht="15" customHeight="1" x14ac:dyDescent="0.35">
      <c r="A11" s="64" t="s">
        <v>62</v>
      </c>
      <c r="B11" s="67">
        <f>SUM(B6:B10)</f>
        <v>24900420.420000002</v>
      </c>
      <c r="C11" s="70">
        <f t="shared" ref="C11:D11" si="1">SUM(C6:C10)</f>
        <v>26445828.389999997</v>
      </c>
      <c r="D11" s="67">
        <f t="shared" si="1"/>
        <v>26374427.34</v>
      </c>
      <c r="E11" s="73">
        <f t="shared" si="0"/>
        <v>6.2063529206869417E-2</v>
      </c>
      <c r="F11" s="38">
        <f t="shared" si="0"/>
        <v>-2.699898409194712E-3</v>
      </c>
    </row>
    <row r="12" spans="1:6" ht="15" customHeight="1" x14ac:dyDescent="0.35">
      <c r="A12" s="115" t="s">
        <v>29</v>
      </c>
      <c r="B12" s="116">
        <v>12924581</v>
      </c>
      <c r="C12" s="117">
        <v>16617791</v>
      </c>
      <c r="D12" s="116">
        <v>14335723</v>
      </c>
      <c r="E12" s="118">
        <f t="shared" si="0"/>
        <v>0.28575084948595242</v>
      </c>
      <c r="F12" s="119">
        <f t="shared" si="0"/>
        <v>-0.13732679632328992</v>
      </c>
    </row>
    <row r="13" spans="1:6" ht="15" customHeight="1" x14ac:dyDescent="0.35">
      <c r="A13" s="105" t="s">
        <v>60</v>
      </c>
      <c r="B13" s="106">
        <v>525118</v>
      </c>
      <c r="C13" s="107">
        <v>562681.42000000004</v>
      </c>
      <c r="D13" s="106">
        <v>544255.03</v>
      </c>
      <c r="E13" s="108">
        <f t="shared" si="0"/>
        <v>7.1533293469277393E-2</v>
      </c>
      <c r="F13" s="109">
        <f t="shared" si="0"/>
        <v>-3.2747464808772331E-2</v>
      </c>
    </row>
    <row r="14" spans="1:6" ht="15" customHeight="1" x14ac:dyDescent="0.35">
      <c r="A14" s="110" t="s">
        <v>61</v>
      </c>
      <c r="B14" s="111">
        <v>6300</v>
      </c>
      <c r="C14" s="112">
        <v>1049664.0500000007</v>
      </c>
      <c r="D14" s="111">
        <v>773294.25</v>
      </c>
      <c r="E14" s="113">
        <f t="shared" si="0"/>
        <v>165.61334126984138</v>
      </c>
      <c r="F14" s="114">
        <f t="shared" si="0"/>
        <v>-0.26329357473946124</v>
      </c>
    </row>
    <row r="15" spans="1:6" s="3" customFormat="1" ht="15" customHeight="1" x14ac:dyDescent="0.35">
      <c r="A15" s="64" t="s">
        <v>63</v>
      </c>
      <c r="B15" s="67">
        <f>SUM(B12:B14)</f>
        <v>13455999</v>
      </c>
      <c r="C15" s="70">
        <f t="shared" ref="C15:D15" si="2">SUM(C12:C14)</f>
        <v>18230136.470000003</v>
      </c>
      <c r="D15" s="67">
        <f t="shared" si="2"/>
        <v>15653272.279999999</v>
      </c>
      <c r="E15" s="73">
        <f t="shared" si="0"/>
        <v>0.35479621171196607</v>
      </c>
      <c r="F15" s="38">
        <f t="shared" si="0"/>
        <v>-0.14135188698343315</v>
      </c>
    </row>
    <row r="16" spans="1:6" s="11" customFormat="1" ht="15" customHeight="1" x14ac:dyDescent="0.35">
      <c r="A16" s="120" t="s">
        <v>74</v>
      </c>
      <c r="B16" s="121">
        <v>1722536.7</v>
      </c>
      <c r="C16" s="122">
        <v>1729448.62</v>
      </c>
      <c r="D16" s="121">
        <v>2470324.02</v>
      </c>
      <c r="E16" s="123">
        <f t="shared" si="0"/>
        <v>4.0126401951263713E-3</v>
      </c>
      <c r="F16" s="124">
        <f t="shared" si="0"/>
        <v>0.42838821080443545</v>
      </c>
    </row>
    <row r="17" spans="1:6" s="11" customFormat="1" ht="15" customHeight="1" x14ac:dyDescent="0.35">
      <c r="A17" s="125" t="s">
        <v>71</v>
      </c>
      <c r="B17" s="126">
        <v>102103.85</v>
      </c>
      <c r="C17" s="127">
        <v>393690.25</v>
      </c>
      <c r="D17" s="126">
        <v>419321.22</v>
      </c>
      <c r="E17" s="128">
        <f t="shared" si="0"/>
        <v>2.8557826174037508</v>
      </c>
      <c r="F17" s="129">
        <f t="shared" si="0"/>
        <v>6.5104406319435038E-2</v>
      </c>
    </row>
    <row r="18" spans="1:6" s="11" customFormat="1" ht="15" customHeight="1" x14ac:dyDescent="0.35">
      <c r="A18" s="125" t="s">
        <v>72</v>
      </c>
      <c r="B18" s="126">
        <v>29462.53</v>
      </c>
      <c r="C18" s="127">
        <v>0</v>
      </c>
      <c r="D18" s="126">
        <v>3356.59</v>
      </c>
      <c r="E18" s="128">
        <f t="shared" si="0"/>
        <v>-1</v>
      </c>
      <c r="F18" s="129" t="e">
        <f t="shared" si="0"/>
        <v>#DIV/0!</v>
      </c>
    </row>
    <row r="19" spans="1:6" s="11" customFormat="1" ht="15" customHeight="1" x14ac:dyDescent="0.35">
      <c r="A19" s="130" t="s">
        <v>73</v>
      </c>
      <c r="B19" s="131">
        <v>194080.41</v>
      </c>
      <c r="C19" s="132">
        <v>193485.17</v>
      </c>
      <c r="D19" s="131">
        <v>180663.61</v>
      </c>
      <c r="E19" s="133">
        <f t="shared" si="0"/>
        <v>-3.0669762084694074E-3</v>
      </c>
      <c r="F19" s="134">
        <f t="shared" si="0"/>
        <v>-6.6266370699108457E-2</v>
      </c>
    </row>
    <row r="20" spans="1:6" ht="15" customHeight="1" x14ac:dyDescent="0.35">
      <c r="A20" s="65" t="s">
        <v>84</v>
      </c>
      <c r="B20" s="68">
        <f>SUM(B16:B19)</f>
        <v>2048183.49</v>
      </c>
      <c r="C20" s="71">
        <f t="shared" ref="C20:D20" si="3">SUM(C16:C19)</f>
        <v>2316624.04</v>
      </c>
      <c r="D20" s="68">
        <f t="shared" si="3"/>
        <v>3073665.44</v>
      </c>
      <c r="E20" s="74">
        <f t="shared" si="0"/>
        <v>0.131062744773907</v>
      </c>
      <c r="F20" s="32">
        <f t="shared" si="0"/>
        <v>0.32678647330276345</v>
      </c>
    </row>
    <row r="21" spans="1:6" ht="15" customHeight="1" thickBot="1" x14ac:dyDescent="0.4">
      <c r="A21" s="75" t="s">
        <v>64</v>
      </c>
      <c r="B21" s="76">
        <v>160.07</v>
      </c>
      <c r="C21" s="77">
        <v>102.64</v>
      </c>
      <c r="D21" s="76"/>
      <c r="E21" s="78">
        <f t="shared" si="0"/>
        <v>-0.35878053351658645</v>
      </c>
      <c r="F21" s="79">
        <f t="shared" si="0"/>
        <v>-1</v>
      </c>
    </row>
    <row r="22" spans="1:6" s="3" customFormat="1" ht="15" customHeight="1" thickBot="1" x14ac:dyDescent="0.4">
      <c r="A22" s="85" t="s">
        <v>27</v>
      </c>
      <c r="B22" s="86">
        <f>B11+B15+B20+B21</f>
        <v>40404762.980000004</v>
      </c>
      <c r="C22" s="87">
        <f>C11+C15+C20+C21</f>
        <v>46992691.539999999</v>
      </c>
      <c r="D22" s="86">
        <f>D11+D15+D20+D21</f>
        <v>45101365.059999995</v>
      </c>
      <c r="E22" s="88">
        <f t="shared" si="0"/>
        <v>0.16304831594386426</v>
      </c>
      <c r="F22" s="89">
        <f t="shared" si="0"/>
        <v>-4.0247247348880077E-2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11562049.950000001</v>
      </c>
      <c r="C24" s="155">
        <v>12505195.140000001</v>
      </c>
      <c r="D24" s="155">
        <v>12639694.65</v>
      </c>
      <c r="E24" s="156">
        <f t="shared" si="0"/>
        <v>8.1572488795553122E-2</v>
      </c>
      <c r="F24" s="104">
        <f t="shared" si="0"/>
        <v>1.0755490697604619E-2</v>
      </c>
    </row>
    <row r="25" spans="1:6" ht="15" customHeight="1" x14ac:dyDescent="0.35">
      <c r="A25" s="157" t="s">
        <v>40</v>
      </c>
      <c r="B25" s="158">
        <v>5308748.93</v>
      </c>
      <c r="C25" s="158">
        <v>5678456.9699999997</v>
      </c>
      <c r="D25" s="158">
        <v>5840094.3000000007</v>
      </c>
      <c r="E25" s="159">
        <f t="shared" si="0"/>
        <v>6.9641274220139104E-2</v>
      </c>
      <c r="F25" s="109">
        <f t="shared" si="0"/>
        <v>2.8465009218868964E-2</v>
      </c>
    </row>
    <row r="26" spans="1:6" ht="15" customHeight="1" x14ac:dyDescent="0.35">
      <c r="A26" s="160" t="s">
        <v>41</v>
      </c>
      <c r="B26" s="161">
        <v>225956.7</v>
      </c>
      <c r="C26" s="161">
        <v>186412.78</v>
      </c>
      <c r="D26" s="161">
        <v>202983.61000000002</v>
      </c>
      <c r="E26" s="162">
        <f t="shared" si="0"/>
        <v>-0.17500662737595307</v>
      </c>
      <c r="F26" s="114">
        <f t="shared" si="0"/>
        <v>8.889320785838839E-2</v>
      </c>
    </row>
    <row r="27" spans="1:6" ht="15" customHeight="1" x14ac:dyDescent="0.35">
      <c r="A27" s="31" t="s">
        <v>65</v>
      </c>
      <c r="B27" s="23">
        <f>B24+B25+B26</f>
        <v>17096755.580000002</v>
      </c>
      <c r="C27" s="23">
        <f t="shared" ref="C27:D27" si="4">C24+C25+C26</f>
        <v>18370064.890000001</v>
      </c>
      <c r="D27" s="23">
        <f t="shared" si="4"/>
        <v>18682772.560000002</v>
      </c>
      <c r="E27" s="24">
        <f t="shared" si="0"/>
        <v>7.4476663367026852E-2</v>
      </c>
      <c r="F27" s="32">
        <f t="shared" si="0"/>
        <v>1.7022676396218239E-2</v>
      </c>
    </row>
    <row r="28" spans="1:6" ht="15" customHeight="1" x14ac:dyDescent="0.35">
      <c r="A28" s="33" t="s">
        <v>66</v>
      </c>
      <c r="B28" s="23">
        <v>3023404.02</v>
      </c>
      <c r="C28" s="23">
        <v>3668976.2100000004</v>
      </c>
      <c r="D28" s="23">
        <v>3577468.78</v>
      </c>
      <c r="E28" s="24">
        <f t="shared" si="0"/>
        <v>0.21352494927224464</v>
      </c>
      <c r="F28" s="32">
        <f t="shared" si="0"/>
        <v>-2.4940862181278778E-2</v>
      </c>
    </row>
    <row r="29" spans="1:6" s="6" customFormat="1" ht="15" customHeight="1" x14ac:dyDescent="0.35">
      <c r="A29" s="182" t="s">
        <v>26</v>
      </c>
      <c r="B29" s="183">
        <v>2800833.5399999996</v>
      </c>
      <c r="C29" s="183">
        <v>3441893.0100000002</v>
      </c>
      <c r="D29" s="183">
        <v>3376360.92</v>
      </c>
      <c r="E29" s="184">
        <f t="shared" si="0"/>
        <v>0.2288816742747235</v>
      </c>
      <c r="F29" s="185">
        <f t="shared" si="0"/>
        <v>-1.9039548820839247E-2</v>
      </c>
    </row>
    <row r="30" spans="1:6" s="163" customFormat="1" ht="15" customHeight="1" x14ac:dyDescent="0.35">
      <c r="A30" s="171" t="s">
        <v>76</v>
      </c>
      <c r="B30" s="172">
        <f>SUM(B31:B36)</f>
        <v>4393474.01</v>
      </c>
      <c r="C30" s="172">
        <f t="shared" ref="C30:D30" si="5">SUM(C31:C36)</f>
        <v>8178008.0299999993</v>
      </c>
      <c r="D30" s="172">
        <f t="shared" si="5"/>
        <v>6164890.2999999998</v>
      </c>
      <c r="E30" s="169">
        <f t="shared" si="0"/>
        <v>0.86139897752575978</v>
      </c>
      <c r="F30" s="170">
        <f t="shared" si="0"/>
        <v>-0.24616235672735087</v>
      </c>
    </row>
    <row r="31" spans="1:6" s="9" customFormat="1" ht="15" customHeight="1" x14ac:dyDescent="0.35">
      <c r="A31" s="165" t="s">
        <v>21</v>
      </c>
      <c r="B31" s="166">
        <v>1859117.96</v>
      </c>
      <c r="C31" s="166">
        <v>4555009.26</v>
      </c>
      <c r="D31" s="166">
        <v>3242494.9</v>
      </c>
      <c r="E31" s="167">
        <f t="shared" si="0"/>
        <v>1.4500915799877485</v>
      </c>
      <c r="F31" s="168">
        <f t="shared" si="0"/>
        <v>-0.28814746251470846</v>
      </c>
    </row>
    <row r="32" spans="1:6" s="9" customFormat="1" ht="15" customHeight="1" x14ac:dyDescent="0.35">
      <c r="A32" s="165" t="s">
        <v>22</v>
      </c>
      <c r="B32" s="166">
        <v>49523.99</v>
      </c>
      <c r="C32" s="166">
        <v>70699.350000000006</v>
      </c>
      <c r="D32" s="166">
        <v>50618.03</v>
      </c>
      <c r="E32" s="167">
        <f t="shared" si="0"/>
        <v>0.42757782642311359</v>
      </c>
      <c r="F32" s="168">
        <f t="shared" si="0"/>
        <v>-0.2840382549485958</v>
      </c>
    </row>
    <row r="33" spans="1:6" s="9" customFormat="1" ht="15" customHeight="1" x14ac:dyDescent="0.35">
      <c r="A33" s="165" t="s">
        <v>23</v>
      </c>
      <c r="B33" s="166">
        <v>1160372.1000000001</v>
      </c>
      <c r="C33" s="166">
        <v>2292833.2000000002</v>
      </c>
      <c r="D33" s="166">
        <v>1598444.72</v>
      </c>
      <c r="E33" s="167">
        <f t="shared" si="0"/>
        <v>0.97594650888279721</v>
      </c>
      <c r="F33" s="168">
        <f t="shared" si="0"/>
        <v>-0.30285172074444844</v>
      </c>
    </row>
    <row r="34" spans="1:6" s="9" customFormat="1" ht="15" customHeight="1" x14ac:dyDescent="0.35">
      <c r="A34" s="165" t="s">
        <v>24</v>
      </c>
      <c r="B34" s="166">
        <v>624695.65</v>
      </c>
      <c r="C34" s="166">
        <v>526946.73</v>
      </c>
      <c r="D34" s="166">
        <v>332318.27</v>
      </c>
      <c r="E34" s="167">
        <f t="shared" si="0"/>
        <v>-0.15647446880733051</v>
      </c>
      <c r="F34" s="168">
        <f t="shared" si="0"/>
        <v>-0.36935130046257236</v>
      </c>
    </row>
    <row r="35" spans="1:6" s="9" customFormat="1" ht="15" customHeight="1" x14ac:dyDescent="0.35">
      <c r="A35" s="165" t="s">
        <v>25</v>
      </c>
      <c r="B35" s="166">
        <v>699764.31</v>
      </c>
      <c r="C35" s="166">
        <v>732519.49</v>
      </c>
      <c r="D35" s="166">
        <v>936948.08</v>
      </c>
      <c r="E35" s="167">
        <f t="shared" si="0"/>
        <v>4.6808874833870862E-2</v>
      </c>
      <c r="F35" s="168">
        <f t="shared" si="0"/>
        <v>0.27907597380105198</v>
      </c>
    </row>
    <row r="36" spans="1:6" s="9" customFormat="1" ht="15" customHeight="1" x14ac:dyDescent="0.35">
      <c r="A36" s="165" t="s">
        <v>32</v>
      </c>
      <c r="B36" s="166"/>
      <c r="C36" s="166"/>
      <c r="D36" s="166">
        <v>4066.3</v>
      </c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5772994.9099999992</v>
      </c>
      <c r="C37" s="172">
        <v>5810373.6200000001</v>
      </c>
      <c r="D37" s="172">
        <v>5979860.4300000006</v>
      </c>
      <c r="E37" s="169">
        <f t="shared" si="0"/>
        <v>6.474751941189627E-3</v>
      </c>
      <c r="F37" s="170">
        <f t="shared" si="0"/>
        <v>2.9169692189260799E-2</v>
      </c>
    </row>
    <row r="38" spans="1:6" s="7" customFormat="1" ht="15" customHeight="1" x14ac:dyDescent="0.35">
      <c r="A38" s="173" t="s">
        <v>70</v>
      </c>
      <c r="B38" s="174">
        <v>5678756.0299999993</v>
      </c>
      <c r="C38" s="174">
        <v>5708216.0800000001</v>
      </c>
      <c r="D38" s="174">
        <v>5843058.9700000007</v>
      </c>
      <c r="E38" s="179">
        <f t="shared" si="0"/>
        <v>5.1877646872604544E-3</v>
      </c>
      <c r="F38" s="180">
        <f t="shared" si="0"/>
        <v>2.362259734218064E-2</v>
      </c>
    </row>
    <row r="39" spans="1:6" s="10" customFormat="1" ht="15" customHeight="1" x14ac:dyDescent="0.35">
      <c r="A39" s="171" t="s">
        <v>78</v>
      </c>
      <c r="B39" s="172">
        <v>1718071.41</v>
      </c>
      <c r="C39" s="172">
        <v>1815022.47</v>
      </c>
      <c r="D39" s="172">
        <v>1973485.59</v>
      </c>
      <c r="E39" s="169">
        <f t="shared" si="0"/>
        <v>5.6430168988144791E-2</v>
      </c>
      <c r="F39" s="170">
        <f t="shared" si="0"/>
        <v>8.7306423264280619E-2</v>
      </c>
    </row>
    <row r="40" spans="1:6" s="10" customFormat="1" ht="15" customHeight="1" x14ac:dyDescent="0.35">
      <c r="A40" s="175" t="s">
        <v>79</v>
      </c>
      <c r="B40" s="176">
        <v>2086720.2100000014</v>
      </c>
      <c r="C40" s="176">
        <v>2175740.700000002</v>
      </c>
      <c r="D40" s="176">
        <v>2761271.7399999998</v>
      </c>
      <c r="E40" s="177">
        <f t="shared" si="0"/>
        <v>4.2660482020251633E-2</v>
      </c>
      <c r="F40" s="178">
        <f t="shared" si="0"/>
        <v>0.26911802495582182</v>
      </c>
    </row>
    <row r="41" spans="1:6" ht="15" customHeight="1" x14ac:dyDescent="0.35">
      <c r="A41" s="31" t="s">
        <v>75</v>
      </c>
      <c r="B41" s="23">
        <f>+B30+B37+B39+B40</f>
        <v>13971260.539999999</v>
      </c>
      <c r="C41" s="23">
        <f>+C30+C37+C39+C40</f>
        <v>17979144.82</v>
      </c>
      <c r="D41" s="23">
        <f>+D30+D37+D39+D40</f>
        <v>16879508.059999999</v>
      </c>
      <c r="E41" s="24">
        <f t="shared" si="0"/>
        <v>0.28686633310754939</v>
      </c>
      <c r="F41" s="32">
        <f t="shared" si="0"/>
        <v>-6.1161794457362917E-2</v>
      </c>
    </row>
    <row r="42" spans="1:6" ht="15" customHeight="1" x14ac:dyDescent="0.35">
      <c r="A42" s="33" t="s">
        <v>67</v>
      </c>
      <c r="B42" s="23">
        <v>796315.60000000009</v>
      </c>
      <c r="C42" s="23">
        <v>1450220.5099999998</v>
      </c>
      <c r="D42" s="23">
        <v>1165638.54</v>
      </c>
      <c r="E42" s="24">
        <f t="shared" si="0"/>
        <v>0.8211630037136024</v>
      </c>
      <c r="F42" s="32">
        <f t="shared" si="0"/>
        <v>-0.19623358519457135</v>
      </c>
    </row>
    <row r="43" spans="1:6" ht="15" customHeight="1" x14ac:dyDescent="0.35">
      <c r="A43" s="33" t="s">
        <v>68</v>
      </c>
      <c r="B43" s="23">
        <v>423771.44</v>
      </c>
      <c r="C43" s="23">
        <v>318961.56</v>
      </c>
      <c r="D43" s="23">
        <v>379890.82</v>
      </c>
      <c r="E43" s="24">
        <f t="shared" si="0"/>
        <v>-0.24732643615624494</v>
      </c>
      <c r="F43" s="32">
        <f t="shared" si="0"/>
        <v>0.19102383371839537</v>
      </c>
    </row>
    <row r="44" spans="1:6" ht="15" customHeight="1" x14ac:dyDescent="0.35">
      <c r="A44" s="33" t="s">
        <v>69</v>
      </c>
      <c r="B44" s="23">
        <v>244889.67</v>
      </c>
      <c r="C44" s="23">
        <v>291653.62</v>
      </c>
      <c r="D44" s="23">
        <v>288255.39</v>
      </c>
      <c r="E44" s="24">
        <f t="shared" si="0"/>
        <v>0.19095925932686342</v>
      </c>
      <c r="F44" s="32">
        <f t="shared" si="0"/>
        <v>-1.1651595478225141E-2</v>
      </c>
    </row>
    <row r="45" spans="1:6" ht="15" customHeight="1" x14ac:dyDescent="0.35">
      <c r="A45" s="186" t="s">
        <v>80</v>
      </c>
      <c r="B45" s="187">
        <v>3412431.39</v>
      </c>
      <c r="C45" s="187">
        <v>3471197.67</v>
      </c>
      <c r="D45" s="187">
        <v>4256329.0199999996</v>
      </c>
      <c r="E45" s="188">
        <f t="shared" si="0"/>
        <v>1.7221234153516507E-2</v>
      </c>
      <c r="F45" s="189">
        <f t="shared" si="0"/>
        <v>0.22618456931609998</v>
      </c>
    </row>
    <row r="46" spans="1:6" ht="15" customHeight="1" x14ac:dyDescent="0.35">
      <c r="A46" s="171" t="s">
        <v>81</v>
      </c>
      <c r="B46" s="190">
        <v>1096895</v>
      </c>
      <c r="C46" s="190">
        <v>67444.55</v>
      </c>
      <c r="D46" s="190">
        <v>112372.42</v>
      </c>
      <c r="E46" s="191">
        <f t="shared" si="0"/>
        <v>-0.93851321229470464</v>
      </c>
      <c r="F46" s="192">
        <f t="shared" si="0"/>
        <v>0.66614530010208384</v>
      </c>
    </row>
    <row r="47" spans="1:6" ht="15" customHeight="1" x14ac:dyDescent="0.35">
      <c r="A47" s="175" t="s">
        <v>82</v>
      </c>
      <c r="B47" s="196"/>
      <c r="C47" s="196"/>
      <c r="D47" s="196"/>
      <c r="E47" s="194" t="str">
        <f t="shared" si="0"/>
        <v/>
      </c>
      <c r="F47" s="195" t="str">
        <f t="shared" si="0"/>
        <v/>
      </c>
    </row>
    <row r="48" spans="1:6" ht="15" customHeight="1" thickBot="1" x14ac:dyDescent="0.4">
      <c r="A48" s="90" t="s">
        <v>83</v>
      </c>
      <c r="B48" s="91">
        <v>4509326.3899999997</v>
      </c>
      <c r="C48" s="91">
        <v>3538642.22</v>
      </c>
      <c r="D48" s="91">
        <v>4368701.4400000004</v>
      </c>
      <c r="E48" s="92">
        <f t="shared" si="0"/>
        <v>-0.21526145726612611</v>
      </c>
      <c r="F48" s="79">
        <f t="shared" si="0"/>
        <v>0.23456997582536054</v>
      </c>
    </row>
    <row r="49" spans="1:7" s="3" customFormat="1" ht="15" customHeight="1" thickBot="1" x14ac:dyDescent="0.4">
      <c r="A49" s="96" t="s">
        <v>28</v>
      </c>
      <c r="B49" s="97">
        <f>B27+B28+B41+B42+B43+B44+B48</f>
        <v>40065723.240000002</v>
      </c>
      <c r="C49" s="97">
        <f>C27+C28+C41+C42+C43+C44+C48</f>
        <v>45617663.829999998</v>
      </c>
      <c r="D49" s="97">
        <f>D27+D28+D41+D42+D43+D44+D48</f>
        <v>45342235.590000004</v>
      </c>
      <c r="E49" s="98">
        <f t="shared" si="0"/>
        <v>0.13857083164936257</v>
      </c>
      <c r="F49" s="99">
        <f t="shared" si="0"/>
        <v>-6.0377541696657877E-3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24900420.420000002</v>
      </c>
      <c r="C51" s="58">
        <f>+C11</f>
        <v>26445828.389999997</v>
      </c>
      <c r="D51" s="44">
        <f>+D11</f>
        <v>26374427.34</v>
      </c>
      <c r="E51" s="59">
        <f t="shared" si="0"/>
        <v>6.2063529206869417E-2</v>
      </c>
      <c r="F51" s="28">
        <f t="shared" si="0"/>
        <v>-2.699898409194712E-3</v>
      </c>
    </row>
    <row r="52" spans="1:7" ht="15" customHeight="1" x14ac:dyDescent="0.35">
      <c r="A52" s="40" t="s">
        <v>9</v>
      </c>
      <c r="B52" s="45">
        <f>+B28</f>
        <v>3023404.02</v>
      </c>
      <c r="C52" s="49">
        <f>+C28</f>
        <v>3668976.2100000004</v>
      </c>
      <c r="D52" s="45">
        <f>+D28</f>
        <v>3577468.78</v>
      </c>
      <c r="E52" s="53">
        <f t="shared" si="0"/>
        <v>0.21352494927224464</v>
      </c>
      <c r="F52" s="30">
        <f t="shared" si="0"/>
        <v>-2.4940862181278778E-2</v>
      </c>
    </row>
    <row r="53" spans="1:7" ht="15" customHeight="1" x14ac:dyDescent="0.35">
      <c r="A53" s="40" t="s">
        <v>10</v>
      </c>
      <c r="B53" s="45">
        <f>+B41</f>
        <v>13971260.539999999</v>
      </c>
      <c r="C53" s="49">
        <f>+C41</f>
        <v>17979144.82</v>
      </c>
      <c r="D53" s="45">
        <f>+D41</f>
        <v>16879508.059999999</v>
      </c>
      <c r="E53" s="53">
        <f t="shared" si="0"/>
        <v>0.28686633310754939</v>
      </c>
      <c r="F53" s="30">
        <f t="shared" si="0"/>
        <v>-6.1161794457362917E-2</v>
      </c>
    </row>
    <row r="54" spans="1:7" s="3" customFormat="1" ht="15" customHeight="1" x14ac:dyDescent="0.35">
      <c r="A54" s="41" t="s">
        <v>11</v>
      </c>
      <c r="B54" s="46">
        <f>B51-B52-B53</f>
        <v>7905755.8600000031</v>
      </c>
      <c r="C54" s="50">
        <f t="shared" ref="C54:D54" si="6">C51-C52-C53</f>
        <v>4797707.3599999957</v>
      </c>
      <c r="D54" s="46">
        <f t="shared" si="6"/>
        <v>5917450.5</v>
      </c>
      <c r="E54" s="54">
        <f t="shared" si="0"/>
        <v>-0.39313742481291425</v>
      </c>
      <c r="F54" s="34">
        <f t="shared" si="0"/>
        <v>0.23339129629615529</v>
      </c>
      <c r="G54" s="4"/>
    </row>
    <row r="55" spans="1:7" ht="15" customHeight="1" x14ac:dyDescent="0.35">
      <c r="A55" s="40" t="s">
        <v>12</v>
      </c>
      <c r="B55" s="45">
        <f>B15</f>
        <v>13455999</v>
      </c>
      <c r="C55" s="49">
        <f>C15</f>
        <v>18230136.470000003</v>
      </c>
      <c r="D55" s="45">
        <f>D15</f>
        <v>15653272.279999999</v>
      </c>
      <c r="E55" s="53">
        <f t="shared" si="0"/>
        <v>0.35479621171196607</v>
      </c>
      <c r="F55" s="30">
        <f t="shared" si="0"/>
        <v>-0.14135188698343315</v>
      </c>
    </row>
    <row r="56" spans="1:7" ht="15" customHeight="1" x14ac:dyDescent="0.35">
      <c r="A56" s="40" t="s">
        <v>13</v>
      </c>
      <c r="B56" s="45">
        <f>B27</f>
        <v>17096755.580000002</v>
      </c>
      <c r="C56" s="49">
        <f>C27</f>
        <v>18370064.890000001</v>
      </c>
      <c r="D56" s="45">
        <f>D27</f>
        <v>18682772.560000002</v>
      </c>
      <c r="E56" s="53">
        <f t="shared" si="0"/>
        <v>7.4476663367026852E-2</v>
      </c>
      <c r="F56" s="30">
        <f t="shared" si="0"/>
        <v>1.7022676396218239E-2</v>
      </c>
    </row>
    <row r="57" spans="1:7" ht="15" customHeight="1" x14ac:dyDescent="0.35">
      <c r="A57" s="40" t="s">
        <v>14</v>
      </c>
      <c r="B57" s="45">
        <f>B42+B43</f>
        <v>1220087.04</v>
      </c>
      <c r="C57" s="49">
        <f t="shared" ref="C57:D57" si="7">C42+C43</f>
        <v>1769182.0699999998</v>
      </c>
      <c r="D57" s="45">
        <f t="shared" si="7"/>
        <v>1545529.36</v>
      </c>
      <c r="E57" s="53">
        <f t="shared" si="0"/>
        <v>0.45004578525807459</v>
      </c>
      <c r="F57" s="30">
        <f t="shared" si="0"/>
        <v>-0.12641588098391687</v>
      </c>
    </row>
    <row r="58" spans="1:7" s="3" customFormat="1" ht="15" customHeight="1" x14ac:dyDescent="0.35">
      <c r="A58" s="42" t="s">
        <v>15</v>
      </c>
      <c r="B58" s="47">
        <f>+B54+B55-B56-B57</f>
        <v>3044912.2400000012</v>
      </c>
      <c r="C58" s="51">
        <f>+C54+C55-C56-C57</f>
        <v>2888596.8699999978</v>
      </c>
      <c r="D58" s="47">
        <f t="shared" ref="D58" si="8">+D54+D55-D56-D57</f>
        <v>1342420.8599999987</v>
      </c>
      <c r="E58" s="55">
        <f t="shared" si="0"/>
        <v>-5.1336576452529648E-2</v>
      </c>
      <c r="F58" s="35">
        <f t="shared" si="0"/>
        <v>-0.53526887952350388</v>
      </c>
      <c r="G58" s="4"/>
    </row>
    <row r="59" spans="1:7" ht="15" customHeight="1" x14ac:dyDescent="0.35">
      <c r="A59" s="40" t="s">
        <v>16</v>
      </c>
      <c r="B59" s="45">
        <f t="shared" ref="B59:D60" si="9">B20</f>
        <v>2048183.49</v>
      </c>
      <c r="C59" s="49">
        <f t="shared" si="9"/>
        <v>2316624.04</v>
      </c>
      <c r="D59" s="45">
        <f t="shared" si="9"/>
        <v>3073665.44</v>
      </c>
      <c r="E59" s="53">
        <f t="shared" si="0"/>
        <v>0.131062744773907</v>
      </c>
      <c r="F59" s="30">
        <f t="shared" si="0"/>
        <v>0.32678647330276345</v>
      </c>
    </row>
    <row r="60" spans="1:7" ht="15" customHeight="1" x14ac:dyDescent="0.35">
      <c r="A60" s="40" t="s">
        <v>17</v>
      </c>
      <c r="B60" s="45">
        <f t="shared" si="9"/>
        <v>160.07</v>
      </c>
      <c r="C60" s="49">
        <f t="shared" si="9"/>
        <v>102.64</v>
      </c>
      <c r="D60" s="45">
        <f t="shared" si="9"/>
        <v>0</v>
      </c>
      <c r="E60" s="53">
        <f t="shared" si="0"/>
        <v>-0.35878053351658645</v>
      </c>
      <c r="F60" s="30">
        <f t="shared" si="0"/>
        <v>-1</v>
      </c>
    </row>
    <row r="61" spans="1:7" ht="15" customHeight="1" x14ac:dyDescent="0.35">
      <c r="A61" s="40" t="s">
        <v>18</v>
      </c>
      <c r="B61" s="45">
        <f>B48</f>
        <v>4509326.3899999997</v>
      </c>
      <c r="C61" s="49">
        <f t="shared" ref="C61:D61" si="10">C48</f>
        <v>3538642.22</v>
      </c>
      <c r="D61" s="45">
        <f t="shared" si="10"/>
        <v>4368701.4400000004</v>
      </c>
      <c r="E61" s="53">
        <f t="shared" si="0"/>
        <v>-0.21526145726612611</v>
      </c>
      <c r="F61" s="30">
        <f t="shared" si="0"/>
        <v>0.23456997582536054</v>
      </c>
    </row>
    <row r="62" spans="1:7" ht="15" customHeight="1" x14ac:dyDescent="0.35">
      <c r="A62" s="40" t="s">
        <v>19</v>
      </c>
      <c r="B62" s="45">
        <f>B44</f>
        <v>244889.67</v>
      </c>
      <c r="C62" s="49">
        <f t="shared" ref="C62:D62" si="11">C44</f>
        <v>291653.62</v>
      </c>
      <c r="D62" s="45">
        <f t="shared" si="11"/>
        <v>288255.39</v>
      </c>
      <c r="E62" s="53">
        <f t="shared" si="0"/>
        <v>0.19095925932686342</v>
      </c>
      <c r="F62" s="30">
        <f t="shared" si="0"/>
        <v>-1.1651595478225141E-2</v>
      </c>
    </row>
    <row r="63" spans="1:7" s="3" customFormat="1" ht="15" customHeight="1" thickBot="1" x14ac:dyDescent="0.4">
      <c r="A63" s="43" t="s">
        <v>20</v>
      </c>
      <c r="B63" s="48">
        <f>B58+B59+B60-B61-B62</f>
        <v>339039.74000000197</v>
      </c>
      <c r="C63" s="52">
        <f t="shared" ref="C63:D63" si="12">C58+C59+C60-C61-C62</f>
        <v>1375027.7099999976</v>
      </c>
      <c r="D63" s="48">
        <f t="shared" si="12"/>
        <v>-240870.53000000154</v>
      </c>
      <c r="E63" s="56">
        <f t="shared" si="0"/>
        <v>3.0556535053973013</v>
      </c>
      <c r="F63" s="36">
        <f t="shared" si="0"/>
        <v>-1.1751750370179828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3412431.39</v>
      </c>
      <c r="C65" s="26">
        <f t="shared" ref="C65:D65" si="13">C45</f>
        <v>3471197.67</v>
      </c>
      <c r="D65" s="26">
        <f t="shared" si="13"/>
        <v>4256329.0199999996</v>
      </c>
      <c r="E65" s="27">
        <f t="shared" ref="E65:E66" si="14">+IF(ISBLANK(B65),"",+C65/B65-1)</f>
        <v>1.7221234153516507E-2</v>
      </c>
      <c r="F65" s="28">
        <f t="shared" ref="F65:F66" si="15">+IF(ISBLANK(C65),"",+D65/C65-1)</f>
        <v>0.22618456931609998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1722536.7</v>
      </c>
      <c r="C66" s="19">
        <f t="shared" si="16"/>
        <v>1729448.62</v>
      </c>
      <c r="D66" s="19">
        <f t="shared" si="16"/>
        <v>2470324.02</v>
      </c>
      <c r="E66" s="20">
        <f t="shared" si="14"/>
        <v>4.0126401951263713E-3</v>
      </c>
      <c r="F66" s="30">
        <f t="shared" si="15"/>
        <v>0.42838821080443545</v>
      </c>
    </row>
    <row r="67" spans="1:6" ht="15" customHeight="1" thickBot="1" x14ac:dyDescent="0.4">
      <c r="A67" s="207" t="s">
        <v>85</v>
      </c>
      <c r="B67" s="208">
        <f>B65-B66</f>
        <v>1689894.6900000002</v>
      </c>
      <c r="C67" s="208">
        <f t="shared" ref="C67:D67" si="17">C65-C66</f>
        <v>1741749.0499999998</v>
      </c>
      <c r="D67" s="208">
        <f t="shared" si="17"/>
        <v>1786004.9999999995</v>
      </c>
      <c r="E67" s="209">
        <f>+IF(ISBLANK(B67),"",+C67/B67-1)</f>
        <v>3.0684965345384674E-2</v>
      </c>
      <c r="F67" s="210">
        <f>+IF(ISBLANK(C67),"",+D67/C67-1)</f>
        <v>2.5408912954480778E-2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02181-E6BD-4286-834C-694FDC8F65E5}">
  <sheetPr>
    <tabColor theme="5" tint="0.79998168889431442"/>
    <pageSetUpPr fitToPage="1"/>
  </sheetPr>
  <dimension ref="A1:G72"/>
  <sheetViews>
    <sheetView topLeftCell="B2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47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9547625.9900000002</v>
      </c>
      <c r="C6" s="102">
        <v>9791528.5800000001</v>
      </c>
      <c r="D6" s="101">
        <v>10511355.65</v>
      </c>
      <c r="E6" s="103">
        <f>+IF(ISBLANK(B6),"",+C6/B6-1)</f>
        <v>2.5545888606807399E-2</v>
      </c>
      <c r="F6" s="104">
        <f>+IF(ISBLANK(C6),"",+D6/C6-1)</f>
        <v>7.3515290704487812E-2</v>
      </c>
    </row>
    <row r="7" spans="1:6" ht="15" customHeight="1" x14ac:dyDescent="0.35">
      <c r="A7" s="105" t="s">
        <v>2</v>
      </c>
      <c r="B7" s="106">
        <v>3709797.45</v>
      </c>
      <c r="C7" s="107">
        <v>4101629.2</v>
      </c>
      <c r="D7" s="106">
        <v>4003865.34</v>
      </c>
      <c r="E7" s="108">
        <f t="shared" ref="E7:F63" si="0">+IF(ISBLANK(B7),"",+C7/B7-1)</f>
        <v>0.10562079339398966</v>
      </c>
      <c r="F7" s="109">
        <f t="shared" si="0"/>
        <v>-2.3835372539282806E-2</v>
      </c>
    </row>
    <row r="8" spans="1:6" ht="15" customHeight="1" x14ac:dyDescent="0.35">
      <c r="A8" s="105" t="s">
        <v>4</v>
      </c>
      <c r="B8" s="106">
        <f>79676.58+500</f>
        <v>80176.58</v>
      </c>
      <c r="C8" s="107">
        <v>80267.13</v>
      </c>
      <c r="D8" s="106">
        <v>91768.68</v>
      </c>
      <c r="E8" s="108">
        <f t="shared" si="0"/>
        <v>1.1293821712026197E-3</v>
      </c>
      <c r="F8" s="109">
        <f t="shared" si="0"/>
        <v>0.14329090874433881</v>
      </c>
    </row>
    <row r="9" spans="1:6" ht="15" customHeight="1" x14ac:dyDescent="0.35">
      <c r="A9" s="105" t="s">
        <v>3</v>
      </c>
      <c r="B9" s="106">
        <v>314520.67</v>
      </c>
      <c r="C9" s="107">
        <v>222817.82</v>
      </c>
      <c r="D9" s="106">
        <v>242096.56</v>
      </c>
      <c r="E9" s="108">
        <f t="shared" si="0"/>
        <v>-0.29156382631386346</v>
      </c>
      <c r="F9" s="109">
        <f t="shared" si="0"/>
        <v>8.6522433439120805E-2</v>
      </c>
    </row>
    <row r="10" spans="1:6" ht="15" customHeight="1" x14ac:dyDescent="0.35">
      <c r="A10" s="110" t="s">
        <v>5</v>
      </c>
      <c r="B10" s="111">
        <v>234555.8</v>
      </c>
      <c r="C10" s="112">
        <v>152458.21</v>
      </c>
      <c r="D10" s="111">
        <f>162611.62+21106</f>
        <v>183717.62</v>
      </c>
      <c r="E10" s="113">
        <f t="shared" si="0"/>
        <v>-0.35001304593619087</v>
      </c>
      <c r="F10" s="114">
        <f t="shared" si="0"/>
        <v>0.20503592427065764</v>
      </c>
    </row>
    <row r="11" spans="1:6" s="3" customFormat="1" ht="15" customHeight="1" x14ac:dyDescent="0.35">
      <c r="A11" s="64" t="s">
        <v>62</v>
      </c>
      <c r="B11" s="67">
        <f>SUM(B6:B10)</f>
        <v>13886676.490000002</v>
      </c>
      <c r="C11" s="70">
        <f t="shared" ref="C11:D11" si="1">SUM(C6:C10)</f>
        <v>14348700.940000003</v>
      </c>
      <c r="D11" s="67">
        <f t="shared" si="1"/>
        <v>15032803.85</v>
      </c>
      <c r="E11" s="73">
        <f t="shared" si="0"/>
        <v>3.327106023768267E-2</v>
      </c>
      <c r="F11" s="38">
        <f t="shared" si="0"/>
        <v>4.7676992702030407E-2</v>
      </c>
    </row>
    <row r="12" spans="1:6" ht="15" customHeight="1" x14ac:dyDescent="0.35">
      <c r="A12" s="115" t="s">
        <v>29</v>
      </c>
      <c r="B12" s="116">
        <v>9089226</v>
      </c>
      <c r="C12" s="117">
        <v>10842346</v>
      </c>
      <c r="D12" s="116">
        <v>10820059</v>
      </c>
      <c r="E12" s="118">
        <f t="shared" si="0"/>
        <v>0.19287890960132348</v>
      </c>
      <c r="F12" s="119">
        <f t="shared" si="0"/>
        <v>-2.0555514461537694E-3</v>
      </c>
    </row>
    <row r="13" spans="1:6" ht="15" customHeight="1" x14ac:dyDescent="0.35">
      <c r="A13" s="105" t="s">
        <v>60</v>
      </c>
      <c r="B13" s="106">
        <v>399849.87</v>
      </c>
      <c r="C13" s="107">
        <v>406313.3</v>
      </c>
      <c r="D13" s="106">
        <v>457784.75</v>
      </c>
      <c r="E13" s="108">
        <f t="shared" si="0"/>
        <v>1.616464199425649E-2</v>
      </c>
      <c r="F13" s="109">
        <f t="shared" si="0"/>
        <v>0.12667921527550297</v>
      </c>
    </row>
    <row r="14" spans="1:6" ht="15" customHeight="1" x14ac:dyDescent="0.35">
      <c r="A14" s="110" t="s">
        <v>61</v>
      </c>
      <c r="B14" s="111">
        <v>513820.86000000051</v>
      </c>
      <c r="C14" s="112">
        <v>785174.79000000027</v>
      </c>
      <c r="D14" s="111">
        <v>481053.86999999936</v>
      </c>
      <c r="E14" s="113">
        <f t="shared" si="0"/>
        <v>0.52810999148613691</v>
      </c>
      <c r="F14" s="114">
        <f t="shared" si="0"/>
        <v>-0.3873289411138644</v>
      </c>
    </row>
    <row r="15" spans="1:6" s="3" customFormat="1" ht="15" customHeight="1" x14ac:dyDescent="0.35">
      <c r="A15" s="64" t="s">
        <v>63</v>
      </c>
      <c r="B15" s="67">
        <f>SUM(B12:B14)</f>
        <v>10002896.73</v>
      </c>
      <c r="C15" s="70">
        <f t="shared" ref="C15:D15" si="2">SUM(C12:C14)</f>
        <v>12033834.090000002</v>
      </c>
      <c r="D15" s="67">
        <f t="shared" si="2"/>
        <v>11758897.619999999</v>
      </c>
      <c r="E15" s="73">
        <f t="shared" si="0"/>
        <v>0.20303492226496278</v>
      </c>
      <c r="F15" s="38">
        <f t="shared" si="0"/>
        <v>-2.284695533807235E-2</v>
      </c>
    </row>
    <row r="16" spans="1:6" s="11" customFormat="1" ht="15" customHeight="1" x14ac:dyDescent="0.35">
      <c r="A16" s="120" t="s">
        <v>74</v>
      </c>
      <c r="B16" s="121">
        <v>2193574.46</v>
      </c>
      <c r="C16" s="122">
        <v>2097891.4700000002</v>
      </c>
      <c r="D16" s="121">
        <v>2698856.05</v>
      </c>
      <c r="E16" s="123">
        <f t="shared" si="0"/>
        <v>-4.3619668146573809E-2</v>
      </c>
      <c r="F16" s="124">
        <f t="shared" si="0"/>
        <v>0.28646123433639747</v>
      </c>
    </row>
    <row r="17" spans="1:6" s="11" customFormat="1" ht="15" customHeight="1" x14ac:dyDescent="0.35">
      <c r="A17" s="125" t="s">
        <v>71</v>
      </c>
      <c r="B17" s="126">
        <v>63018</v>
      </c>
      <c r="C17" s="127">
        <v>86358</v>
      </c>
      <c r="D17" s="126">
        <v>495033.4</v>
      </c>
      <c r="E17" s="128">
        <f t="shared" si="0"/>
        <v>0.37037037037037046</v>
      </c>
      <c r="F17" s="129">
        <f t="shared" si="0"/>
        <v>4.7323397948076611</v>
      </c>
    </row>
    <row r="18" spans="1:6" s="11" customFormat="1" ht="15" customHeight="1" x14ac:dyDescent="0.35">
      <c r="A18" s="125" t="s">
        <v>72</v>
      </c>
      <c r="B18" s="126">
        <v>322628.90000000002</v>
      </c>
      <c r="C18" s="127">
        <v>205104.44</v>
      </c>
      <c r="D18" s="126">
        <v>198119.3</v>
      </c>
      <c r="E18" s="128">
        <f t="shared" si="0"/>
        <v>-0.36427133465104955</v>
      </c>
      <c r="F18" s="129">
        <f t="shared" si="0"/>
        <v>-3.405650311616859E-2</v>
      </c>
    </row>
    <row r="19" spans="1:6" s="11" customFormat="1" ht="15" customHeight="1" x14ac:dyDescent="0.35">
      <c r="A19" s="130" t="s">
        <v>73</v>
      </c>
      <c r="B19" s="131">
        <v>0</v>
      </c>
      <c r="C19" s="132">
        <v>105998.37</v>
      </c>
      <c r="D19" s="131">
        <v>121935.71</v>
      </c>
      <c r="E19" s="133" t="e">
        <f t="shared" si="0"/>
        <v>#DIV/0!</v>
      </c>
      <c r="F19" s="134">
        <f t="shared" si="0"/>
        <v>0.15035457620716253</v>
      </c>
    </row>
    <row r="20" spans="1:6" ht="15" customHeight="1" x14ac:dyDescent="0.35">
      <c r="A20" s="65" t="s">
        <v>84</v>
      </c>
      <c r="B20" s="68">
        <f>SUM(B16:B19)</f>
        <v>2579221.36</v>
      </c>
      <c r="C20" s="71">
        <f t="shared" ref="C20:D20" si="3">SUM(C16:C19)</f>
        <v>2495352.2800000003</v>
      </c>
      <c r="D20" s="68">
        <f t="shared" si="3"/>
        <v>3513944.4599999995</v>
      </c>
      <c r="E20" s="74">
        <f t="shared" si="0"/>
        <v>-3.2517208992096647E-2</v>
      </c>
      <c r="F20" s="32">
        <f t="shared" si="0"/>
        <v>0.40819574380896606</v>
      </c>
    </row>
    <row r="21" spans="1:6" ht="15" customHeight="1" thickBot="1" x14ac:dyDescent="0.4">
      <c r="A21" s="75" t="s">
        <v>64</v>
      </c>
      <c r="B21" s="76">
        <v>700</v>
      </c>
      <c r="C21" s="77"/>
      <c r="D21" s="76"/>
      <c r="E21" s="78">
        <f t="shared" si="0"/>
        <v>-1</v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26469494.580000002</v>
      </c>
      <c r="C22" s="87">
        <f>C11+C15+C20+C21</f>
        <v>28877887.310000006</v>
      </c>
      <c r="D22" s="86">
        <f>D11+D15+D20+D21</f>
        <v>30305645.93</v>
      </c>
      <c r="E22" s="88">
        <f t="shared" si="0"/>
        <v>9.0987484582337075E-2</v>
      </c>
      <c r="F22" s="89">
        <f t="shared" si="0"/>
        <v>4.9441242175135791E-2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7818096.2700000005</v>
      </c>
      <c r="C24" s="155">
        <v>8624590.1099999994</v>
      </c>
      <c r="D24" s="155">
        <v>9016588.2200000007</v>
      </c>
      <c r="E24" s="156">
        <f t="shared" si="0"/>
        <v>0.10315731760616953</v>
      </c>
      <c r="F24" s="104">
        <f t="shared" si="0"/>
        <v>4.5451216231770619E-2</v>
      </c>
    </row>
    <row r="25" spans="1:6" ht="15" customHeight="1" x14ac:dyDescent="0.35">
      <c r="A25" s="157" t="s">
        <v>40</v>
      </c>
      <c r="B25" s="158">
        <v>3798096.37</v>
      </c>
      <c r="C25" s="158">
        <v>4054668.1799999997</v>
      </c>
      <c r="D25" s="158">
        <v>4225593.6499999994</v>
      </c>
      <c r="E25" s="159">
        <f t="shared" si="0"/>
        <v>6.7552738268197077E-2</v>
      </c>
      <c r="F25" s="109">
        <f t="shared" si="0"/>
        <v>4.2155230073598782E-2</v>
      </c>
    </row>
    <row r="26" spans="1:6" ht="15" customHeight="1" x14ac:dyDescent="0.35">
      <c r="A26" s="160" t="s">
        <v>41</v>
      </c>
      <c r="B26" s="161">
        <v>161368.33000000002</v>
      </c>
      <c r="C26" s="161">
        <v>157567.96</v>
      </c>
      <c r="D26" s="161">
        <v>174829.06</v>
      </c>
      <c r="E26" s="162">
        <f t="shared" si="0"/>
        <v>-2.3550903699629422E-2</v>
      </c>
      <c r="F26" s="114">
        <f t="shared" si="0"/>
        <v>0.10954701704585124</v>
      </c>
    </row>
    <row r="27" spans="1:6" ht="15" customHeight="1" x14ac:dyDescent="0.35">
      <c r="A27" s="31" t="s">
        <v>65</v>
      </c>
      <c r="B27" s="23">
        <f>B24+B25+B26</f>
        <v>11777560.970000001</v>
      </c>
      <c r="C27" s="23">
        <f t="shared" ref="C27:D27" si="4">C24+C25+C26</f>
        <v>12836826.25</v>
      </c>
      <c r="D27" s="23">
        <f t="shared" si="4"/>
        <v>13417010.930000002</v>
      </c>
      <c r="E27" s="24">
        <f t="shared" si="0"/>
        <v>8.9939273734024994E-2</v>
      </c>
      <c r="F27" s="32">
        <f t="shared" si="0"/>
        <v>4.5196894364757823E-2</v>
      </c>
    </row>
    <row r="28" spans="1:6" ht="15" customHeight="1" x14ac:dyDescent="0.35">
      <c r="A28" s="33" t="s">
        <v>66</v>
      </c>
      <c r="B28" s="23">
        <v>2910330.39</v>
      </c>
      <c r="C28" s="23">
        <v>3683390.03</v>
      </c>
      <c r="D28" s="23">
        <v>3371078.87</v>
      </c>
      <c r="E28" s="24">
        <f t="shared" si="0"/>
        <v>0.2656260755329567</v>
      </c>
      <c r="F28" s="32">
        <f t="shared" si="0"/>
        <v>-8.478905504340517E-2</v>
      </c>
    </row>
    <row r="29" spans="1:6" s="6" customFormat="1" ht="15" customHeight="1" x14ac:dyDescent="0.35">
      <c r="A29" s="182" t="s">
        <v>26</v>
      </c>
      <c r="B29" s="183">
        <v>2709701.16</v>
      </c>
      <c r="C29" s="183">
        <v>3461004.03</v>
      </c>
      <c r="D29" s="183">
        <v>3165196.66</v>
      </c>
      <c r="E29" s="184">
        <f t="shared" si="0"/>
        <v>0.27726410612748142</v>
      </c>
      <c r="F29" s="185">
        <f t="shared" si="0"/>
        <v>-8.5468658064521086E-2</v>
      </c>
    </row>
    <row r="30" spans="1:6" s="163" customFormat="1" ht="15" customHeight="1" x14ac:dyDescent="0.35">
      <c r="A30" s="171" t="s">
        <v>76</v>
      </c>
      <c r="B30" s="172">
        <f>SUM(B31:B36)</f>
        <v>1881744.07</v>
      </c>
      <c r="C30" s="172">
        <f t="shared" ref="C30:D30" si="5">SUM(C31:C36)</f>
        <v>3033232.75</v>
      </c>
      <c r="D30" s="172">
        <f t="shared" si="5"/>
        <v>2775093.92</v>
      </c>
      <c r="E30" s="169">
        <f t="shared" si="0"/>
        <v>0.61192629665095732</v>
      </c>
      <c r="F30" s="170">
        <f t="shared" si="0"/>
        <v>-8.5103535163926991E-2</v>
      </c>
    </row>
    <row r="31" spans="1:6" s="9" customFormat="1" ht="15" customHeight="1" x14ac:dyDescent="0.35">
      <c r="A31" s="165" t="s">
        <v>21</v>
      </c>
      <c r="B31" s="166">
        <v>1006818.09</v>
      </c>
      <c r="C31" s="166">
        <v>1624242.38</v>
      </c>
      <c r="D31" s="166">
        <v>1375407.75</v>
      </c>
      <c r="E31" s="167">
        <f t="shared" si="0"/>
        <v>0.61324314305874261</v>
      </c>
      <c r="F31" s="168">
        <f t="shared" si="0"/>
        <v>-0.15320042935956391</v>
      </c>
    </row>
    <row r="32" spans="1:6" s="9" customFormat="1" ht="15" customHeight="1" x14ac:dyDescent="0.35">
      <c r="A32" s="165" t="s">
        <v>22</v>
      </c>
      <c r="B32" s="166">
        <v>27921.87</v>
      </c>
      <c r="C32" s="166">
        <v>33729.620000000003</v>
      </c>
      <c r="D32" s="166">
        <v>28859.52</v>
      </c>
      <c r="E32" s="167">
        <f t="shared" si="0"/>
        <v>0.20800003724678917</v>
      </c>
      <c r="F32" s="168">
        <f t="shared" si="0"/>
        <v>-0.14438644728283334</v>
      </c>
    </row>
    <row r="33" spans="1:6" s="9" customFormat="1" ht="15" customHeight="1" x14ac:dyDescent="0.35">
      <c r="A33" s="165" t="s">
        <v>23</v>
      </c>
      <c r="B33" s="166">
        <v>40737.620000000003</v>
      </c>
      <c r="C33" s="166">
        <v>15409.82</v>
      </c>
      <c r="D33" s="166">
        <v>2229.2800000000002</v>
      </c>
      <c r="E33" s="167">
        <f t="shared" si="0"/>
        <v>-0.62172998815345615</v>
      </c>
      <c r="F33" s="168">
        <f t="shared" si="0"/>
        <v>-0.8553338066246069</v>
      </c>
    </row>
    <row r="34" spans="1:6" s="9" customFormat="1" ht="15" customHeight="1" x14ac:dyDescent="0.35">
      <c r="A34" s="165" t="s">
        <v>24</v>
      </c>
      <c r="B34" s="166">
        <v>305637.05</v>
      </c>
      <c r="C34" s="166">
        <v>808536.65</v>
      </c>
      <c r="D34" s="166">
        <v>721387.47</v>
      </c>
      <c r="E34" s="167">
        <f t="shared" si="0"/>
        <v>1.6454143893876743</v>
      </c>
      <c r="F34" s="168">
        <f t="shared" si="0"/>
        <v>-0.10778630752236162</v>
      </c>
    </row>
    <row r="35" spans="1:6" s="9" customFormat="1" ht="15" customHeight="1" x14ac:dyDescent="0.35">
      <c r="A35" s="165" t="s">
        <v>25</v>
      </c>
      <c r="B35" s="166">
        <v>500629.44</v>
      </c>
      <c r="C35" s="166">
        <v>551314.28</v>
      </c>
      <c r="D35" s="166">
        <v>647209.9</v>
      </c>
      <c r="E35" s="167">
        <f t="shared" si="0"/>
        <v>0.10124222818378414</v>
      </c>
      <c r="F35" s="168">
        <f t="shared" si="0"/>
        <v>0.17394002564199851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2895066.45</v>
      </c>
      <c r="C37" s="172">
        <v>3076523.55</v>
      </c>
      <c r="D37" s="172">
        <v>3255318.59</v>
      </c>
      <c r="E37" s="169">
        <f t="shared" si="0"/>
        <v>6.2678043193101773E-2</v>
      </c>
      <c r="F37" s="170">
        <f t="shared" si="0"/>
        <v>5.8115934136112823E-2</v>
      </c>
    </row>
    <row r="38" spans="1:6" s="7" customFormat="1" ht="15" customHeight="1" x14ac:dyDescent="0.35">
      <c r="A38" s="173" t="s">
        <v>70</v>
      </c>
      <c r="B38" s="174">
        <v>2697588.73</v>
      </c>
      <c r="C38" s="174">
        <v>2917334.5</v>
      </c>
      <c r="D38" s="174">
        <v>3063490.9</v>
      </c>
      <c r="E38" s="169">
        <f t="shared" si="0"/>
        <v>8.1460071194766615E-2</v>
      </c>
      <c r="F38" s="170">
        <f t="shared" si="0"/>
        <v>5.0099294407274897E-2</v>
      </c>
    </row>
    <row r="39" spans="1:6" s="10" customFormat="1" ht="15" customHeight="1" x14ac:dyDescent="0.35">
      <c r="A39" s="171" t="s">
        <v>78</v>
      </c>
      <c r="B39" s="172">
        <v>1159372.76</v>
      </c>
      <c r="C39" s="172">
        <v>1062195.6399999999</v>
      </c>
      <c r="D39" s="172">
        <v>1230593.2200000002</v>
      </c>
      <c r="E39" s="169">
        <f t="shared" si="0"/>
        <v>-8.3818702105783571E-2</v>
      </c>
      <c r="F39" s="170">
        <f t="shared" si="0"/>
        <v>0.15853725402224428</v>
      </c>
    </row>
    <row r="40" spans="1:6" s="10" customFormat="1" ht="15" customHeight="1" x14ac:dyDescent="0.35">
      <c r="A40" s="175" t="s">
        <v>79</v>
      </c>
      <c r="B40" s="176">
        <v>1835224.8900000001</v>
      </c>
      <c r="C40" s="176">
        <v>1657424.8199999991</v>
      </c>
      <c r="D40" s="176">
        <v>2035037.6199999996</v>
      </c>
      <c r="E40" s="177">
        <f t="shared" si="0"/>
        <v>-9.6881897673042672E-2</v>
      </c>
      <c r="F40" s="178">
        <f t="shared" si="0"/>
        <v>0.22783102765409335</v>
      </c>
    </row>
    <row r="41" spans="1:6" ht="15" customHeight="1" x14ac:dyDescent="0.35">
      <c r="A41" s="31" t="s">
        <v>75</v>
      </c>
      <c r="B41" s="23">
        <f>+B30+B37+B39+B40</f>
        <v>7771408.1699999999</v>
      </c>
      <c r="C41" s="23">
        <f>+C30+C37+C39+C40</f>
        <v>8829376.7599999979</v>
      </c>
      <c r="D41" s="23">
        <f>+D30+D37+D39+D40</f>
        <v>9296043.3499999996</v>
      </c>
      <c r="E41" s="24">
        <f t="shared" si="0"/>
        <v>0.13613602153649307</v>
      </c>
      <c r="F41" s="32">
        <f t="shared" si="0"/>
        <v>5.2853853979156984E-2</v>
      </c>
    </row>
    <row r="42" spans="1:6" ht="15" customHeight="1" x14ac:dyDescent="0.35">
      <c r="A42" s="33" t="s">
        <v>67</v>
      </c>
      <c r="B42" s="23">
        <v>782661.35999999987</v>
      </c>
      <c r="C42" s="23">
        <v>837781.02</v>
      </c>
      <c r="D42" s="23">
        <v>680957.81</v>
      </c>
      <c r="E42" s="24">
        <f t="shared" si="0"/>
        <v>7.0425937470581346E-2</v>
      </c>
      <c r="F42" s="32">
        <f t="shared" si="0"/>
        <v>-0.18718878353200219</v>
      </c>
    </row>
    <row r="43" spans="1:6" ht="15" customHeight="1" x14ac:dyDescent="0.35">
      <c r="A43" s="33" t="s">
        <v>68</v>
      </c>
      <c r="B43" s="23">
        <v>84917.3</v>
      </c>
      <c r="C43" s="23">
        <v>75485.45</v>
      </c>
      <c r="D43" s="23">
        <v>128609.72</v>
      </c>
      <c r="E43" s="24">
        <f t="shared" si="0"/>
        <v>-0.11107100673243264</v>
      </c>
      <c r="F43" s="32">
        <f t="shared" si="0"/>
        <v>0.70376834211096329</v>
      </c>
    </row>
    <row r="44" spans="1:6" ht="15" customHeight="1" x14ac:dyDescent="0.35">
      <c r="A44" s="33" t="s">
        <v>69</v>
      </c>
      <c r="B44" s="23"/>
      <c r="C44" s="23"/>
      <c r="D44" s="23"/>
      <c r="E44" s="24" t="str">
        <f t="shared" si="0"/>
        <v/>
      </c>
      <c r="F44" s="32" t="str">
        <f t="shared" si="0"/>
        <v/>
      </c>
    </row>
    <row r="45" spans="1:6" ht="15" customHeight="1" x14ac:dyDescent="0.35">
      <c r="A45" s="186" t="s">
        <v>80</v>
      </c>
      <c r="B45" s="187">
        <v>2538318.27</v>
      </c>
      <c r="C45" s="187">
        <v>2427103.9700000002</v>
      </c>
      <c r="D45" s="187">
        <v>3105378.8</v>
      </c>
      <c r="E45" s="188">
        <f t="shared" si="0"/>
        <v>-4.3814166771135366E-2</v>
      </c>
      <c r="F45" s="189">
        <f t="shared" si="0"/>
        <v>0.27945849802223321</v>
      </c>
    </row>
    <row r="46" spans="1:6" ht="15" customHeight="1" x14ac:dyDescent="0.35">
      <c r="A46" s="171" t="s">
        <v>81</v>
      </c>
      <c r="B46" s="190">
        <v>262757.2</v>
      </c>
      <c r="C46" s="190">
        <v>126339.63</v>
      </c>
      <c r="D46" s="190">
        <v>80478.8</v>
      </c>
      <c r="E46" s="191">
        <f t="shared" si="0"/>
        <v>-0.51917728610291181</v>
      </c>
      <c r="F46" s="192">
        <f t="shared" si="0"/>
        <v>-0.36299639313491738</v>
      </c>
    </row>
    <row r="47" spans="1:6" ht="15" customHeight="1" x14ac:dyDescent="0.35">
      <c r="A47" s="175" t="s">
        <v>82</v>
      </c>
      <c r="B47" s="193">
        <v>205104.44</v>
      </c>
      <c r="C47" s="193">
        <v>198119.3</v>
      </c>
      <c r="D47" s="193">
        <v>187410.45</v>
      </c>
      <c r="E47" s="194">
        <f t="shared" si="0"/>
        <v>-3.405650311616859E-2</v>
      </c>
      <c r="F47" s="195">
        <f t="shared" si="0"/>
        <v>-5.4052532994009028E-2</v>
      </c>
    </row>
    <row r="48" spans="1:6" ht="15" customHeight="1" thickBot="1" x14ac:dyDescent="0.4">
      <c r="A48" s="90" t="s">
        <v>83</v>
      </c>
      <c r="B48" s="91">
        <v>3006179.91</v>
      </c>
      <c r="C48" s="91">
        <v>2751562.9</v>
      </c>
      <c r="D48" s="91">
        <v>3373268.05</v>
      </c>
      <c r="E48" s="92">
        <f t="shared" si="0"/>
        <v>-8.4697861612680447E-2</v>
      </c>
      <c r="F48" s="79">
        <f t="shared" si="0"/>
        <v>0.22594618861883919</v>
      </c>
    </row>
    <row r="49" spans="1:7" s="3" customFormat="1" ht="15" customHeight="1" thickBot="1" x14ac:dyDescent="0.4">
      <c r="A49" s="96" t="s">
        <v>28</v>
      </c>
      <c r="B49" s="97">
        <f>B27+B28+B41+B42+B43+B44+B48</f>
        <v>26333058.100000001</v>
      </c>
      <c r="C49" s="97">
        <f>C27+C28+C41+C42+C43+C44+C48</f>
        <v>29014422.409999996</v>
      </c>
      <c r="D49" s="97">
        <f>D27+D28+D41+D42+D43+D44+D48</f>
        <v>30266968.729999997</v>
      </c>
      <c r="E49" s="98">
        <f t="shared" si="0"/>
        <v>0.10182502540409444</v>
      </c>
      <c r="F49" s="99">
        <f t="shared" si="0"/>
        <v>4.3169783023780051E-2</v>
      </c>
    </row>
    <row r="50" spans="1:7" ht="15" customHeight="1" thickBot="1" x14ac:dyDescent="0.4">
      <c r="A50" s="60"/>
      <c r="B50" s="61">
        <v>26333058.100000001</v>
      </c>
      <c r="C50" s="61">
        <v>29014422.409999996</v>
      </c>
      <c r="D50" s="61">
        <v>30266968.729999997</v>
      </c>
      <c r="E50" s="62">
        <f t="shared" si="0"/>
        <v>0.10182502540409444</v>
      </c>
      <c r="F50" s="62">
        <f t="shared" si="0"/>
        <v>4.3169783023780051E-2</v>
      </c>
    </row>
    <row r="51" spans="1:7" ht="15" customHeight="1" x14ac:dyDescent="0.35">
      <c r="A51" s="57" t="s">
        <v>8</v>
      </c>
      <c r="B51" s="44">
        <f>+B11</f>
        <v>13886676.490000002</v>
      </c>
      <c r="C51" s="58">
        <f>+C11</f>
        <v>14348700.940000003</v>
      </c>
      <c r="D51" s="44">
        <f>+D11</f>
        <v>15032803.85</v>
      </c>
      <c r="E51" s="59">
        <f t="shared" si="0"/>
        <v>3.327106023768267E-2</v>
      </c>
      <c r="F51" s="28">
        <f t="shared" si="0"/>
        <v>4.7676992702030407E-2</v>
      </c>
    </row>
    <row r="52" spans="1:7" ht="15" customHeight="1" x14ac:dyDescent="0.35">
      <c r="A52" s="40" t="s">
        <v>9</v>
      </c>
      <c r="B52" s="45">
        <f>+B28</f>
        <v>2910330.39</v>
      </c>
      <c r="C52" s="49">
        <f>+C28</f>
        <v>3683390.03</v>
      </c>
      <c r="D52" s="45">
        <f>+D28</f>
        <v>3371078.87</v>
      </c>
      <c r="E52" s="53">
        <f t="shared" si="0"/>
        <v>0.2656260755329567</v>
      </c>
      <c r="F52" s="30">
        <f t="shared" si="0"/>
        <v>-8.478905504340517E-2</v>
      </c>
    </row>
    <row r="53" spans="1:7" ht="15" customHeight="1" x14ac:dyDescent="0.35">
      <c r="A53" s="40" t="s">
        <v>10</v>
      </c>
      <c r="B53" s="45">
        <f>+B41</f>
        <v>7771408.1699999999</v>
      </c>
      <c r="C53" s="49">
        <f>+C41</f>
        <v>8829376.7599999979</v>
      </c>
      <c r="D53" s="45">
        <f>+D41</f>
        <v>9296043.3499999996</v>
      </c>
      <c r="E53" s="53">
        <f t="shared" si="0"/>
        <v>0.13613602153649307</v>
      </c>
      <c r="F53" s="30">
        <f t="shared" si="0"/>
        <v>5.2853853979156984E-2</v>
      </c>
    </row>
    <row r="54" spans="1:7" s="3" customFormat="1" ht="15" customHeight="1" x14ac:dyDescent="0.35">
      <c r="A54" s="41" t="s">
        <v>11</v>
      </c>
      <c r="B54" s="46">
        <f>B51-B52-B53</f>
        <v>3204937.9300000016</v>
      </c>
      <c r="C54" s="50">
        <f t="shared" ref="C54:D54" si="6">C51-C52-C53</f>
        <v>1835934.150000006</v>
      </c>
      <c r="D54" s="46">
        <f t="shared" si="6"/>
        <v>2365681.6300000008</v>
      </c>
      <c r="E54" s="54">
        <f t="shared" si="0"/>
        <v>-0.42715453774794165</v>
      </c>
      <c r="F54" s="34">
        <f t="shared" si="0"/>
        <v>0.28854383475572543</v>
      </c>
      <c r="G54" s="4"/>
    </row>
    <row r="55" spans="1:7" ht="15" customHeight="1" x14ac:dyDescent="0.35">
      <c r="A55" s="40" t="s">
        <v>12</v>
      </c>
      <c r="B55" s="45">
        <f>B15</f>
        <v>10002896.73</v>
      </c>
      <c r="C55" s="49">
        <f>C15</f>
        <v>12033834.090000002</v>
      </c>
      <c r="D55" s="45">
        <f>D15</f>
        <v>11758897.619999999</v>
      </c>
      <c r="E55" s="53">
        <f t="shared" si="0"/>
        <v>0.20303492226496278</v>
      </c>
      <c r="F55" s="30">
        <f t="shared" si="0"/>
        <v>-2.284695533807235E-2</v>
      </c>
    </row>
    <row r="56" spans="1:7" ht="15" customHeight="1" x14ac:dyDescent="0.35">
      <c r="A56" s="40" t="s">
        <v>13</v>
      </c>
      <c r="B56" s="45">
        <f>B27</f>
        <v>11777560.970000001</v>
      </c>
      <c r="C56" s="49">
        <f>C27</f>
        <v>12836826.25</v>
      </c>
      <c r="D56" s="45">
        <f>D27</f>
        <v>13417010.930000002</v>
      </c>
      <c r="E56" s="53">
        <f t="shared" si="0"/>
        <v>8.9939273734024994E-2</v>
      </c>
      <c r="F56" s="30">
        <f t="shared" si="0"/>
        <v>4.5196894364757823E-2</v>
      </c>
    </row>
    <row r="57" spans="1:7" ht="15" customHeight="1" x14ac:dyDescent="0.35">
      <c r="A57" s="40" t="s">
        <v>14</v>
      </c>
      <c r="B57" s="45">
        <f>B42+B43</f>
        <v>867578.65999999992</v>
      </c>
      <c r="C57" s="49">
        <f t="shared" ref="C57:D57" si="7">C42+C43</f>
        <v>913266.47</v>
      </c>
      <c r="D57" s="45">
        <f t="shared" si="7"/>
        <v>809567.53</v>
      </c>
      <c r="E57" s="53">
        <f t="shared" si="0"/>
        <v>5.2661288372399584E-2</v>
      </c>
      <c r="F57" s="30">
        <f t="shared" si="0"/>
        <v>-0.11354729797536522</v>
      </c>
    </row>
    <row r="58" spans="1:7" s="3" customFormat="1" ht="15" customHeight="1" x14ac:dyDescent="0.35">
      <c r="A58" s="42" t="s">
        <v>15</v>
      </c>
      <c r="B58" s="47">
        <f>+B54+B55-B56-B57</f>
        <v>562695.03000000142</v>
      </c>
      <c r="C58" s="51">
        <f>+C54+C55-C56-C57</f>
        <v>119675.5200000077</v>
      </c>
      <c r="D58" s="47">
        <f t="shared" ref="D58" si="8">+D54+D55-D56-D57</f>
        <v>-101999.21000000159</v>
      </c>
      <c r="E58" s="55">
        <f t="shared" si="0"/>
        <v>-0.78731726135912838</v>
      </c>
      <c r="F58" s="35">
        <f t="shared" si="0"/>
        <v>-1.8522980305412087</v>
      </c>
      <c r="G58" s="4"/>
    </row>
    <row r="59" spans="1:7" ht="15" customHeight="1" x14ac:dyDescent="0.35">
      <c r="A59" s="40" t="s">
        <v>16</v>
      </c>
      <c r="B59" s="45">
        <f t="shared" ref="B59:D60" si="9">B20</f>
        <v>2579221.36</v>
      </c>
      <c r="C59" s="49">
        <f t="shared" si="9"/>
        <v>2495352.2800000003</v>
      </c>
      <c r="D59" s="45">
        <f t="shared" si="9"/>
        <v>3513944.4599999995</v>
      </c>
      <c r="E59" s="53">
        <f t="shared" si="0"/>
        <v>-3.2517208992096647E-2</v>
      </c>
      <c r="F59" s="30">
        <f t="shared" si="0"/>
        <v>0.40819574380896606</v>
      </c>
    </row>
    <row r="60" spans="1:7" ht="15" customHeight="1" x14ac:dyDescent="0.35">
      <c r="A60" s="40" t="s">
        <v>17</v>
      </c>
      <c r="B60" s="45">
        <f t="shared" si="9"/>
        <v>700</v>
      </c>
      <c r="C60" s="49">
        <f t="shared" si="9"/>
        <v>0</v>
      </c>
      <c r="D60" s="45">
        <f t="shared" si="9"/>
        <v>0</v>
      </c>
      <c r="E60" s="53">
        <f t="shared" si="0"/>
        <v>-1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3006179.91</v>
      </c>
      <c r="C61" s="49">
        <f t="shared" ref="C61:D61" si="10">C48</f>
        <v>2751562.9</v>
      </c>
      <c r="D61" s="45">
        <f t="shared" si="10"/>
        <v>3373268.05</v>
      </c>
      <c r="E61" s="53">
        <f t="shared" si="0"/>
        <v>-8.4697861612680447E-2</v>
      </c>
      <c r="F61" s="30">
        <f t="shared" si="0"/>
        <v>0.22594618861883919</v>
      </c>
    </row>
    <row r="62" spans="1:7" ht="15" customHeight="1" x14ac:dyDescent="0.35">
      <c r="A62" s="40" t="s">
        <v>19</v>
      </c>
      <c r="B62" s="45">
        <f>B44</f>
        <v>0</v>
      </c>
      <c r="C62" s="49">
        <f t="shared" ref="C62:D62" si="11">C44</f>
        <v>0</v>
      </c>
      <c r="D62" s="45">
        <f t="shared" si="11"/>
        <v>0</v>
      </c>
      <c r="E62" s="53" t="e">
        <f t="shared" si="0"/>
        <v>#DIV/0!</v>
      </c>
      <c r="F62" s="30" t="e">
        <f t="shared" si="0"/>
        <v>#DIV/0!</v>
      </c>
    </row>
    <row r="63" spans="1:7" s="3" customFormat="1" ht="15" customHeight="1" thickBot="1" x14ac:dyDescent="0.4">
      <c r="A63" s="43" t="s">
        <v>20</v>
      </c>
      <c r="B63" s="48">
        <f>B58+B59+B60-B61-B62</f>
        <v>136436.48000000138</v>
      </c>
      <c r="C63" s="52">
        <f t="shared" ref="C63:D63" si="12">C58+C59+C60-C61-C62</f>
        <v>-136535.09999999171</v>
      </c>
      <c r="D63" s="48">
        <f t="shared" si="12"/>
        <v>38677.199999998324</v>
      </c>
      <c r="E63" s="56">
        <f t="shared" si="0"/>
        <v>-2.0007228272086053</v>
      </c>
      <c r="F63" s="36">
        <f t="shared" si="0"/>
        <v>-1.2832766079931144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2538318.27</v>
      </c>
      <c r="C65" s="26">
        <f t="shared" ref="C65:D65" si="13">C45</f>
        <v>2427103.9700000002</v>
      </c>
      <c r="D65" s="26">
        <f t="shared" si="13"/>
        <v>3105378.8</v>
      </c>
      <c r="E65" s="27">
        <f t="shared" ref="E65:E66" si="14">+IF(ISBLANK(B65),"",+C65/B65-1)</f>
        <v>-4.3814166771135366E-2</v>
      </c>
      <c r="F65" s="28">
        <f t="shared" ref="F65:F66" si="15">+IF(ISBLANK(C65),"",+D65/C65-1)</f>
        <v>0.27945849802223321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2193574.46</v>
      </c>
      <c r="C66" s="19">
        <f t="shared" si="16"/>
        <v>2097891.4700000002</v>
      </c>
      <c r="D66" s="19">
        <f t="shared" si="16"/>
        <v>2698856.05</v>
      </c>
      <c r="E66" s="20">
        <f t="shared" si="14"/>
        <v>-4.3619668146573809E-2</v>
      </c>
      <c r="F66" s="30">
        <f t="shared" si="15"/>
        <v>0.28646123433639747</v>
      </c>
    </row>
    <row r="67" spans="1:6" ht="15" customHeight="1" thickBot="1" x14ac:dyDescent="0.4">
      <c r="A67" s="207" t="s">
        <v>85</v>
      </c>
      <c r="B67" s="208">
        <f>B65-B66</f>
        <v>344743.81000000006</v>
      </c>
      <c r="C67" s="208">
        <f t="shared" ref="C67:D67" si="17">C65-C66</f>
        <v>329212.5</v>
      </c>
      <c r="D67" s="208">
        <f t="shared" si="17"/>
        <v>406522.75</v>
      </c>
      <c r="E67" s="209">
        <f>+IF(ISBLANK(B67),"",+C67/B67-1)</f>
        <v>-4.5051744366345736E-2</v>
      </c>
      <c r="F67" s="210">
        <f>+IF(ISBLANK(C67),"",+D67/C67-1)</f>
        <v>0.23483388388958493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6B221-B4EB-48AD-B056-A929E6B7C4DF}">
  <sheetPr>
    <tabColor theme="5" tint="0.79998168889431442"/>
    <pageSetUpPr fitToPage="1"/>
  </sheetPr>
  <dimension ref="A1:G72"/>
  <sheetViews>
    <sheetView topLeftCell="A9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4" width="17.6328125" style="2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53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37481638.329999998</v>
      </c>
      <c r="C6" s="102">
        <v>34853734.659999996</v>
      </c>
      <c r="D6" s="101">
        <v>34456222.840000004</v>
      </c>
      <c r="E6" s="103">
        <f>+IF(ISBLANK(B6),"",+C6/B6-1)</f>
        <v>-7.0111761040515863E-2</v>
      </c>
      <c r="F6" s="104">
        <f>+IF(ISBLANK(C6),"",+D6/C6-1)</f>
        <v>-1.1405142773873167E-2</v>
      </c>
    </row>
    <row r="7" spans="1:6" ht="15" customHeight="1" x14ac:dyDescent="0.35">
      <c r="A7" s="105" t="s">
        <v>2</v>
      </c>
      <c r="B7" s="106">
        <v>17857053.120000001</v>
      </c>
      <c r="C7" s="107">
        <v>21352024.940000001</v>
      </c>
      <c r="D7" s="106">
        <v>23274842.43</v>
      </c>
      <c r="E7" s="108">
        <f t="shared" ref="E7:F63" si="0">+IF(ISBLANK(B7),"",+C7/B7-1)</f>
        <v>0.19571940546481392</v>
      </c>
      <c r="F7" s="109">
        <f t="shared" si="0"/>
        <v>9.0053168043929821E-2</v>
      </c>
    </row>
    <row r="8" spans="1:6" ht="15" customHeight="1" x14ac:dyDescent="0.35">
      <c r="A8" s="105" t="s">
        <v>4</v>
      </c>
      <c r="B8" s="106">
        <v>635980.02</v>
      </c>
      <c r="C8" s="107">
        <v>704219.07</v>
      </c>
      <c r="D8" s="106">
        <v>349244.2</v>
      </c>
      <c r="E8" s="108">
        <f t="shared" si="0"/>
        <v>0.10729747453386973</v>
      </c>
      <c r="F8" s="109">
        <f t="shared" si="0"/>
        <v>-0.5040688119962442</v>
      </c>
    </row>
    <row r="9" spans="1:6" ht="15" customHeight="1" x14ac:dyDescent="0.35">
      <c r="A9" s="105" t="s">
        <v>3</v>
      </c>
      <c r="B9" s="106">
        <v>713835.91</v>
      </c>
      <c r="C9" s="107">
        <v>1062534.83</v>
      </c>
      <c r="D9" s="106">
        <v>3368071.54</v>
      </c>
      <c r="E9" s="108">
        <f t="shared" si="0"/>
        <v>0.4884861003980594</v>
      </c>
      <c r="F9" s="109">
        <f t="shared" si="0"/>
        <v>2.1698457734321988</v>
      </c>
    </row>
    <row r="10" spans="1:6" ht="15" customHeight="1" x14ac:dyDescent="0.35">
      <c r="A10" s="110" t="s">
        <v>5</v>
      </c>
      <c r="B10" s="111">
        <v>2437525.4700000002</v>
      </c>
      <c r="C10" s="112">
        <v>1210814.03</v>
      </c>
      <c r="D10" s="111">
        <v>2549407.21</v>
      </c>
      <c r="E10" s="113">
        <f t="shared" si="0"/>
        <v>-0.50326097310482676</v>
      </c>
      <c r="F10" s="114">
        <f t="shared" si="0"/>
        <v>1.1055316066993375</v>
      </c>
    </row>
    <row r="11" spans="1:6" s="3" customFormat="1" ht="15" customHeight="1" x14ac:dyDescent="0.35">
      <c r="A11" s="64" t="s">
        <v>62</v>
      </c>
      <c r="B11" s="67">
        <f>SUM(B6:B10)</f>
        <v>59126032.850000001</v>
      </c>
      <c r="C11" s="70">
        <f t="shared" ref="C11:D11" si="1">SUM(C6:C10)</f>
        <v>59183327.529999994</v>
      </c>
      <c r="D11" s="67">
        <f t="shared" si="1"/>
        <v>63997788.220000006</v>
      </c>
      <c r="E11" s="73">
        <f t="shared" si="0"/>
        <v>9.6902628568606985E-4</v>
      </c>
      <c r="F11" s="38">
        <f t="shared" si="0"/>
        <v>8.1348259567858294E-2</v>
      </c>
    </row>
    <row r="12" spans="1:6" ht="15" customHeight="1" x14ac:dyDescent="0.35">
      <c r="A12" s="115" t="s">
        <v>29</v>
      </c>
      <c r="B12" s="116">
        <v>32757975</v>
      </c>
      <c r="C12" s="117">
        <v>42759080</v>
      </c>
      <c r="D12" s="116">
        <v>42701511</v>
      </c>
      <c r="E12" s="118">
        <f t="shared" si="0"/>
        <v>0.30530290715467001</v>
      </c>
      <c r="F12" s="119">
        <f t="shared" si="0"/>
        <v>-1.3463573117101779E-3</v>
      </c>
    </row>
    <row r="13" spans="1:6" ht="15" customHeight="1" x14ac:dyDescent="0.35">
      <c r="A13" s="105" t="s">
        <v>60</v>
      </c>
      <c r="B13" s="106">
        <v>3282381.36</v>
      </c>
      <c r="C13" s="107">
        <v>3483554.63</v>
      </c>
      <c r="D13" s="106">
        <v>3687970.34</v>
      </c>
      <c r="E13" s="108">
        <f t="shared" si="0"/>
        <v>6.1288816848509065E-2</v>
      </c>
      <c r="F13" s="109">
        <f t="shared" si="0"/>
        <v>5.8680207923134997E-2</v>
      </c>
    </row>
    <row r="14" spans="1:6" ht="15" customHeight="1" x14ac:dyDescent="0.35">
      <c r="A14" s="110" t="s">
        <v>61</v>
      </c>
      <c r="B14" s="111">
        <v>7682284.9699999969</v>
      </c>
      <c r="C14" s="112">
        <v>10143078.640000002</v>
      </c>
      <c r="D14" s="111">
        <v>65996.350000000006</v>
      </c>
      <c r="E14" s="113">
        <f t="shared" si="0"/>
        <v>0.32032053999683985</v>
      </c>
      <c r="F14" s="114">
        <f t="shared" si="0"/>
        <v>-0.99349345969381142</v>
      </c>
    </row>
    <row r="15" spans="1:6" s="3" customFormat="1" ht="15" customHeight="1" x14ac:dyDescent="0.35">
      <c r="A15" s="64" t="s">
        <v>63</v>
      </c>
      <c r="B15" s="67">
        <f>SUM(B12:B14)</f>
        <v>43722641.329999998</v>
      </c>
      <c r="C15" s="70">
        <f t="shared" ref="C15:D15" si="2">SUM(C12:C14)</f>
        <v>56385713.270000003</v>
      </c>
      <c r="D15" s="67">
        <f t="shared" si="2"/>
        <v>46455477.690000005</v>
      </c>
      <c r="E15" s="73">
        <f t="shared" si="0"/>
        <v>0.28962275733582743</v>
      </c>
      <c r="F15" s="38">
        <f t="shared" si="0"/>
        <v>-0.17611261796848421</v>
      </c>
    </row>
    <row r="16" spans="1:6" s="11" customFormat="1" ht="15" customHeight="1" x14ac:dyDescent="0.35">
      <c r="A16" s="120" t="s">
        <v>74</v>
      </c>
      <c r="B16" s="121">
        <v>4519847.53</v>
      </c>
      <c r="C16" s="122">
        <v>4382160.75</v>
      </c>
      <c r="D16" s="121">
        <v>4647809.0999999996</v>
      </c>
      <c r="E16" s="123">
        <f t="shared" si="0"/>
        <v>-3.0462704568266719E-2</v>
      </c>
      <c r="F16" s="124">
        <f t="shared" si="0"/>
        <v>6.0620402845787735E-2</v>
      </c>
    </row>
    <row r="17" spans="1:6" s="11" customFormat="1" ht="15" customHeight="1" x14ac:dyDescent="0.35">
      <c r="A17" s="125" t="s">
        <v>71</v>
      </c>
      <c r="B17" s="126">
        <v>113041</v>
      </c>
      <c r="C17" s="127">
        <v>2302961.2599999998</v>
      </c>
      <c r="D17" s="126">
        <v>641976</v>
      </c>
      <c r="E17" s="128">
        <f t="shared" si="0"/>
        <v>19.372796242071459</v>
      </c>
      <c r="F17" s="129">
        <f t="shared" si="0"/>
        <v>-0.72123890612037478</v>
      </c>
    </row>
    <row r="18" spans="1:6" s="11" customFormat="1" ht="15" customHeight="1" x14ac:dyDescent="0.35">
      <c r="A18" s="125" t="s">
        <v>72</v>
      </c>
      <c r="B18" s="126">
        <v>0</v>
      </c>
      <c r="C18" s="127">
        <v>261967.05</v>
      </c>
      <c r="D18" s="126">
        <v>0</v>
      </c>
      <c r="E18" s="128" t="e">
        <f t="shared" si="0"/>
        <v>#DIV/0!</v>
      </c>
      <c r="F18" s="129">
        <f t="shared" si="0"/>
        <v>-1</v>
      </c>
    </row>
    <row r="19" spans="1:6" s="11" customFormat="1" ht="15" customHeight="1" x14ac:dyDescent="0.35">
      <c r="A19" s="130" t="s">
        <v>73</v>
      </c>
      <c r="B19" s="131">
        <v>286896.84000000003</v>
      </c>
      <c r="C19" s="132">
        <v>331513.92</v>
      </c>
      <c r="D19" s="131">
        <v>357466.17</v>
      </c>
      <c r="E19" s="133">
        <f t="shared" si="0"/>
        <v>0.15551610815929506</v>
      </c>
      <c r="F19" s="134">
        <f t="shared" si="0"/>
        <v>7.8284043095385059E-2</v>
      </c>
    </row>
    <row r="20" spans="1:6" ht="15" customHeight="1" x14ac:dyDescent="0.35">
      <c r="A20" s="65" t="s">
        <v>84</v>
      </c>
      <c r="B20" s="68">
        <f>SUM(B16:B19)</f>
        <v>4919785.37</v>
      </c>
      <c r="C20" s="71">
        <f t="shared" ref="C20:D20" si="3">SUM(C16:C19)</f>
        <v>7278602.9799999995</v>
      </c>
      <c r="D20" s="68">
        <f t="shared" si="3"/>
        <v>5647251.2699999996</v>
      </c>
      <c r="E20" s="74">
        <f t="shared" si="0"/>
        <v>0.4794553893313438</v>
      </c>
      <c r="F20" s="32">
        <f t="shared" si="0"/>
        <v>-0.224129783487655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107768459.55000001</v>
      </c>
      <c r="C22" s="87">
        <f>C11+C15+C20+C21</f>
        <v>122847643.78</v>
      </c>
      <c r="D22" s="86">
        <f>D11+D15+D20+D21</f>
        <v>116100517.18000001</v>
      </c>
      <c r="E22" s="88">
        <f t="shared" si="0"/>
        <v>0.13992205412385883</v>
      </c>
      <c r="F22" s="89">
        <f t="shared" si="0"/>
        <v>-5.4922718844188756E-2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23188003.800000001</v>
      </c>
      <c r="C24" s="155">
        <v>25178711.950000003</v>
      </c>
      <c r="D24" s="155">
        <v>26757807.599999998</v>
      </c>
      <c r="E24" s="156">
        <f t="shared" si="0"/>
        <v>8.5850777288556612E-2</v>
      </c>
      <c r="F24" s="104">
        <f t="shared" si="0"/>
        <v>6.271550558804484E-2</v>
      </c>
    </row>
    <row r="25" spans="1:6" ht="15" customHeight="1" x14ac:dyDescent="0.35">
      <c r="A25" s="157" t="s">
        <v>40</v>
      </c>
      <c r="B25" s="158">
        <v>10400502.419999998</v>
      </c>
      <c r="C25" s="158">
        <v>11033634.379999999</v>
      </c>
      <c r="D25" s="158">
        <v>11547182.43</v>
      </c>
      <c r="E25" s="159">
        <f t="shared" si="0"/>
        <v>6.0875132222699024E-2</v>
      </c>
      <c r="F25" s="109">
        <f t="shared" si="0"/>
        <v>4.6543870524736519E-2</v>
      </c>
    </row>
    <row r="26" spans="1:6" ht="15" customHeight="1" x14ac:dyDescent="0.35">
      <c r="A26" s="160" t="s">
        <v>41</v>
      </c>
      <c r="B26" s="161">
        <v>489064.36000000004</v>
      </c>
      <c r="C26" s="161">
        <v>540780.43999999994</v>
      </c>
      <c r="D26" s="161">
        <v>577251.87999999989</v>
      </c>
      <c r="E26" s="162">
        <f t="shared" si="0"/>
        <v>0.10574493712851996</v>
      </c>
      <c r="F26" s="114">
        <f t="shared" si="0"/>
        <v>6.7442232193161367E-2</v>
      </c>
    </row>
    <row r="27" spans="1:6" ht="15" customHeight="1" x14ac:dyDescent="0.35">
      <c r="A27" s="31" t="s">
        <v>65</v>
      </c>
      <c r="B27" s="23">
        <f>B24+B25+B26</f>
        <v>34077570.579999998</v>
      </c>
      <c r="C27" s="23">
        <f t="shared" ref="C27:D27" si="4">C24+C25+C26</f>
        <v>36753126.769999996</v>
      </c>
      <c r="D27" s="23">
        <f t="shared" si="4"/>
        <v>38882241.910000004</v>
      </c>
      <c r="E27" s="24">
        <f t="shared" si="0"/>
        <v>7.8513701078511522E-2</v>
      </c>
      <c r="F27" s="32">
        <f t="shared" si="0"/>
        <v>5.7930177024772656E-2</v>
      </c>
    </row>
    <row r="28" spans="1:6" ht="15" customHeight="1" x14ac:dyDescent="0.35">
      <c r="A28" s="33" t="s">
        <v>66</v>
      </c>
      <c r="B28" s="23">
        <f>10974830.14+104.56</f>
        <v>10974934.700000001</v>
      </c>
      <c r="C28" s="23">
        <v>14911621.240000002</v>
      </c>
      <c r="D28" s="23">
        <v>15836514.359999999</v>
      </c>
      <c r="E28" s="24">
        <f t="shared" si="0"/>
        <v>0.35869794651261122</v>
      </c>
      <c r="F28" s="32">
        <f t="shared" si="0"/>
        <v>6.2024987431882783E-2</v>
      </c>
    </row>
    <row r="29" spans="1:6" s="6" customFormat="1" ht="15" customHeight="1" x14ac:dyDescent="0.35">
      <c r="A29" s="182" t="s">
        <v>26</v>
      </c>
      <c r="B29" s="183">
        <v>10095886.610000001</v>
      </c>
      <c r="C29" s="183">
        <v>13890579.84</v>
      </c>
      <c r="D29" s="183">
        <v>14756366.529999999</v>
      </c>
      <c r="E29" s="184">
        <f t="shared" si="0"/>
        <v>0.37586527826504557</v>
      </c>
      <c r="F29" s="185">
        <f t="shared" si="0"/>
        <v>6.2329053212511587E-2</v>
      </c>
    </row>
    <row r="30" spans="1:6" s="163" customFormat="1" ht="15" customHeight="1" x14ac:dyDescent="0.35">
      <c r="A30" s="171" t="s">
        <v>76</v>
      </c>
      <c r="B30" s="172">
        <f>SUM(B31:B36)</f>
        <v>7944909.2999999998</v>
      </c>
      <c r="C30" s="172">
        <f t="shared" ref="C30:D30" si="5">SUM(C31:C36)</f>
        <v>7578128.6800000006</v>
      </c>
      <c r="D30" s="172">
        <f t="shared" si="5"/>
        <v>6929043.8099999996</v>
      </c>
      <c r="E30" s="169">
        <f t="shared" si="0"/>
        <v>-4.6165488635596996E-2</v>
      </c>
      <c r="F30" s="170">
        <f t="shared" si="0"/>
        <v>-8.5652394860099013E-2</v>
      </c>
    </row>
    <row r="31" spans="1:6" s="9" customFormat="1" ht="15" customHeight="1" x14ac:dyDescent="0.35">
      <c r="A31" s="165" t="s">
        <v>21</v>
      </c>
      <c r="B31" s="166">
        <v>3557437.56</v>
      </c>
      <c r="C31" s="166">
        <v>3564715.33</v>
      </c>
      <c r="D31" s="166">
        <v>2691906.33</v>
      </c>
      <c r="E31" s="167">
        <f t="shared" si="0"/>
        <v>2.0457899477510644E-3</v>
      </c>
      <c r="F31" s="168">
        <f t="shared" si="0"/>
        <v>-0.24484676031620178</v>
      </c>
    </row>
    <row r="32" spans="1:6" s="9" customFormat="1" ht="15" customHeight="1" x14ac:dyDescent="0.35">
      <c r="A32" s="165" t="s">
        <v>22</v>
      </c>
      <c r="B32" s="166">
        <v>17562.53</v>
      </c>
      <c r="C32" s="166">
        <v>20401.490000000002</v>
      </c>
      <c r="D32" s="166">
        <v>19904.72</v>
      </c>
      <c r="E32" s="167">
        <f t="shared" si="0"/>
        <v>0.161648691845651</v>
      </c>
      <c r="F32" s="168">
        <f t="shared" si="0"/>
        <v>-2.4349692105821719E-2</v>
      </c>
    </row>
    <row r="33" spans="1:6" s="9" customFormat="1" ht="15" customHeight="1" x14ac:dyDescent="0.35">
      <c r="A33" s="165" t="s">
        <v>23</v>
      </c>
      <c r="B33" s="166">
        <v>1037582.57</v>
      </c>
      <c r="C33" s="166">
        <v>1299920.46</v>
      </c>
      <c r="D33" s="166">
        <v>1158140.9099999999</v>
      </c>
      <c r="E33" s="167">
        <f t="shared" si="0"/>
        <v>0.25283567552604524</v>
      </c>
      <c r="F33" s="168">
        <f t="shared" si="0"/>
        <v>-0.10906786558309889</v>
      </c>
    </row>
    <row r="34" spans="1:6" s="9" customFormat="1" ht="15" customHeight="1" x14ac:dyDescent="0.35">
      <c r="A34" s="165" t="s">
        <v>24</v>
      </c>
      <c r="B34" s="166">
        <v>1643152.47</v>
      </c>
      <c r="C34" s="166">
        <v>1342854.41</v>
      </c>
      <c r="D34" s="166">
        <v>1562463.68</v>
      </c>
      <c r="E34" s="167">
        <f t="shared" si="0"/>
        <v>-0.18275727023676636</v>
      </c>
      <c r="F34" s="168">
        <f t="shared" si="0"/>
        <v>0.16353915090467619</v>
      </c>
    </row>
    <row r="35" spans="1:6" s="9" customFormat="1" ht="15" customHeight="1" x14ac:dyDescent="0.35">
      <c r="A35" s="165" t="s">
        <v>25</v>
      </c>
      <c r="B35" s="166">
        <v>1689174.17</v>
      </c>
      <c r="C35" s="166">
        <v>1350236.99</v>
      </c>
      <c r="D35" s="166">
        <v>1496628.17</v>
      </c>
      <c r="E35" s="167">
        <f t="shared" si="0"/>
        <v>-0.20065259463445384</v>
      </c>
      <c r="F35" s="168">
        <f t="shared" si="0"/>
        <v>0.10841887837778752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19757908.019999996</v>
      </c>
      <c r="C37" s="172">
        <v>20787433.359999999</v>
      </c>
      <c r="D37" s="172">
        <v>22371630.609999999</v>
      </c>
      <c r="E37" s="169">
        <f t="shared" si="0"/>
        <v>5.2107001356513249E-2</v>
      </c>
      <c r="F37" s="170">
        <f t="shared" si="0"/>
        <v>7.6209372391705443E-2</v>
      </c>
    </row>
    <row r="38" spans="1:6" s="7" customFormat="1" ht="15" customHeight="1" x14ac:dyDescent="0.35">
      <c r="A38" s="173" t="s">
        <v>70</v>
      </c>
      <c r="B38" s="174">
        <v>18919707.5</v>
      </c>
      <c r="C38" s="174">
        <v>19265404.640000001</v>
      </c>
      <c r="D38" s="174">
        <v>21237427.960000001</v>
      </c>
      <c r="E38" s="169">
        <f t="shared" si="0"/>
        <v>1.827180150644514E-2</v>
      </c>
      <c r="F38" s="170">
        <f t="shared" si="0"/>
        <v>0.1023608565119658</v>
      </c>
    </row>
    <row r="39" spans="1:6" s="10" customFormat="1" ht="15" customHeight="1" x14ac:dyDescent="0.35">
      <c r="A39" s="171" t="s">
        <v>78</v>
      </c>
      <c r="B39" s="172">
        <v>5256921.07</v>
      </c>
      <c r="C39" s="172">
        <v>5109650.5</v>
      </c>
      <c r="D39" s="172">
        <v>6421080.2800000012</v>
      </c>
      <c r="E39" s="169">
        <f t="shared" si="0"/>
        <v>-2.8014605515087276E-2</v>
      </c>
      <c r="F39" s="170">
        <f t="shared" si="0"/>
        <v>0.25665743283224574</v>
      </c>
    </row>
    <row r="40" spans="1:6" s="10" customFormat="1" ht="15" customHeight="1" x14ac:dyDescent="0.35">
      <c r="A40" s="175" t="s">
        <v>79</v>
      </c>
      <c r="B40" s="176">
        <f>12724388.81-104.56</f>
        <v>12724284.25</v>
      </c>
      <c r="C40" s="176">
        <v>13549746.689999999</v>
      </c>
      <c r="D40" s="176">
        <v>12465523.279999999</v>
      </c>
      <c r="E40" s="177">
        <f t="shared" si="0"/>
        <v>6.487299590151796E-2</v>
      </c>
      <c r="F40" s="178">
        <f t="shared" si="0"/>
        <v>-8.001798371626978E-2</v>
      </c>
    </row>
    <row r="41" spans="1:6" ht="15" customHeight="1" x14ac:dyDescent="0.35">
      <c r="A41" s="31" t="s">
        <v>75</v>
      </c>
      <c r="B41" s="23">
        <f>+B30+B37+B39+B40</f>
        <v>45684022.640000001</v>
      </c>
      <c r="C41" s="23">
        <f>+C30+C37+C39+C40</f>
        <v>47024959.229999997</v>
      </c>
      <c r="D41" s="23">
        <f>+D30+D37+D39+D40</f>
        <v>48187277.980000004</v>
      </c>
      <c r="E41" s="24">
        <f t="shared" si="0"/>
        <v>2.9352419347281833E-2</v>
      </c>
      <c r="F41" s="32">
        <f t="shared" si="0"/>
        <v>2.4717060238480748E-2</v>
      </c>
    </row>
    <row r="42" spans="1:6" ht="15" customHeight="1" x14ac:dyDescent="0.35">
      <c r="A42" s="33" t="s">
        <v>67</v>
      </c>
      <c r="B42" s="23">
        <v>4079980.3599999994</v>
      </c>
      <c r="C42" s="23">
        <v>1801595.9100000001</v>
      </c>
      <c r="D42" s="23">
        <v>4228872.26</v>
      </c>
      <c r="E42" s="24">
        <f t="shared" si="0"/>
        <v>-0.55843024940443575</v>
      </c>
      <c r="F42" s="32">
        <f t="shared" si="0"/>
        <v>1.3472923292771015</v>
      </c>
    </row>
    <row r="43" spans="1:6" ht="15" customHeight="1" x14ac:dyDescent="0.35">
      <c r="A43" s="33" t="s">
        <v>68</v>
      </c>
      <c r="B43" s="23">
        <v>6520092</v>
      </c>
      <c r="C43" s="23">
        <v>9610886</v>
      </c>
      <c r="D43" s="23"/>
      <c r="E43" s="24">
        <f t="shared" si="0"/>
        <v>0.47404147058047652</v>
      </c>
      <c r="F43" s="32">
        <f t="shared" si="0"/>
        <v>-1</v>
      </c>
    </row>
    <row r="44" spans="1:6" ht="15" customHeight="1" x14ac:dyDescent="0.35">
      <c r="A44" s="33" t="s">
        <v>69</v>
      </c>
      <c r="B44" s="23">
        <v>22537.38</v>
      </c>
      <c r="C44" s="23">
        <v>33468.93</v>
      </c>
      <c r="D44" s="23">
        <v>15556.21</v>
      </c>
      <c r="E44" s="24">
        <f t="shared" si="0"/>
        <v>0.48504085213099302</v>
      </c>
      <c r="F44" s="32">
        <f t="shared" si="0"/>
        <v>-0.53520444185099436</v>
      </c>
    </row>
    <row r="45" spans="1:6" ht="15" customHeight="1" x14ac:dyDescent="0.35">
      <c r="A45" s="186" t="s">
        <v>80</v>
      </c>
      <c r="B45" s="187">
        <v>6277819.4199999999</v>
      </c>
      <c r="C45" s="187">
        <v>5997012.8899999997</v>
      </c>
      <c r="D45" s="187">
        <v>6065803.9900000002</v>
      </c>
      <c r="E45" s="188">
        <f t="shared" si="0"/>
        <v>-4.4729947010804683E-2</v>
      </c>
      <c r="F45" s="189">
        <f t="shared" si="0"/>
        <v>1.1470894137097787E-2</v>
      </c>
    </row>
    <row r="46" spans="1:6" ht="15" customHeight="1" x14ac:dyDescent="0.35">
      <c r="A46" s="171" t="s">
        <v>81</v>
      </c>
      <c r="B46" s="190">
        <v>80917</v>
      </c>
      <c r="C46" s="190">
        <v>3290874.73</v>
      </c>
      <c r="D46" s="190">
        <v>2063771</v>
      </c>
      <c r="E46" s="191">
        <f t="shared" si="0"/>
        <v>39.669757034986468</v>
      </c>
      <c r="F46" s="192">
        <f t="shared" si="0"/>
        <v>-0.37288071734046224</v>
      </c>
    </row>
    <row r="47" spans="1:6" ht="15" customHeight="1" x14ac:dyDescent="0.35">
      <c r="A47" s="175" t="s">
        <v>82</v>
      </c>
      <c r="B47" s="193">
        <v>730464.63</v>
      </c>
      <c r="C47" s="193"/>
      <c r="D47" s="193">
        <v>1238727.6100000001</v>
      </c>
      <c r="E47" s="194">
        <f t="shared" si="0"/>
        <v>-1</v>
      </c>
      <c r="F47" s="195" t="str">
        <f t="shared" si="0"/>
        <v/>
      </c>
    </row>
    <row r="48" spans="1:6" ht="15" customHeight="1" thickBot="1" x14ac:dyDescent="0.4">
      <c r="A48" s="90" t="s">
        <v>83</v>
      </c>
      <c r="B48" s="91">
        <v>7089201.0499999998</v>
      </c>
      <c r="C48" s="91">
        <v>9287887.6199999992</v>
      </c>
      <c r="D48" s="91">
        <v>9368302.5999999996</v>
      </c>
      <c r="E48" s="92">
        <f t="shared" si="0"/>
        <v>0.31014589013525007</v>
      </c>
      <c r="F48" s="79">
        <f t="shared" si="0"/>
        <v>8.658048341028568E-3</v>
      </c>
    </row>
    <row r="49" spans="1:7" s="3" customFormat="1" ht="15" customHeight="1" thickBot="1" x14ac:dyDescent="0.4">
      <c r="A49" s="96" t="s">
        <v>28</v>
      </c>
      <c r="B49" s="97">
        <f>B27+B28+B41+B42+B43+B44+B48</f>
        <v>108448338.70999999</v>
      </c>
      <c r="C49" s="97">
        <f>C27+C28+C41+C42+C43+C44+C48</f>
        <v>119423545.7</v>
      </c>
      <c r="D49" s="97">
        <f>D27+D28+D41+D42+D43+D44+D48</f>
        <v>116518765.31999999</v>
      </c>
      <c r="E49" s="98">
        <f t="shared" si="0"/>
        <v>0.10120216796818471</v>
      </c>
      <c r="F49" s="99">
        <f t="shared" si="0"/>
        <v>-2.4323347317931843E-2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59126032.850000001</v>
      </c>
      <c r="C51" s="58">
        <f>+C11</f>
        <v>59183327.529999994</v>
      </c>
      <c r="D51" s="44">
        <f>+D11</f>
        <v>63997788.220000006</v>
      </c>
      <c r="E51" s="59">
        <f t="shared" si="0"/>
        <v>9.6902628568606985E-4</v>
      </c>
      <c r="F51" s="28">
        <f t="shared" si="0"/>
        <v>8.1348259567858294E-2</v>
      </c>
    </row>
    <row r="52" spans="1:7" ht="15" customHeight="1" x14ac:dyDescent="0.35">
      <c r="A52" s="40" t="s">
        <v>9</v>
      </c>
      <c r="B52" s="45">
        <f>+B28</f>
        <v>10974934.700000001</v>
      </c>
      <c r="C52" s="49">
        <f>+C28</f>
        <v>14911621.240000002</v>
      </c>
      <c r="D52" s="45">
        <f>+D28</f>
        <v>15836514.359999999</v>
      </c>
      <c r="E52" s="53">
        <f t="shared" si="0"/>
        <v>0.35869794651261122</v>
      </c>
      <c r="F52" s="30">
        <f t="shared" si="0"/>
        <v>6.2024987431882783E-2</v>
      </c>
    </row>
    <row r="53" spans="1:7" ht="15" customHeight="1" x14ac:dyDescent="0.35">
      <c r="A53" s="40" t="s">
        <v>10</v>
      </c>
      <c r="B53" s="45">
        <f>+B41</f>
        <v>45684022.640000001</v>
      </c>
      <c r="C53" s="49">
        <f>+C41</f>
        <v>47024959.229999997</v>
      </c>
      <c r="D53" s="45">
        <f>+D41</f>
        <v>48187277.980000004</v>
      </c>
      <c r="E53" s="53">
        <f t="shared" si="0"/>
        <v>2.9352419347281833E-2</v>
      </c>
      <c r="F53" s="30">
        <f t="shared" si="0"/>
        <v>2.4717060238480748E-2</v>
      </c>
    </row>
    <row r="54" spans="1:7" s="3" customFormat="1" ht="15" customHeight="1" x14ac:dyDescent="0.35">
      <c r="A54" s="41" t="s">
        <v>11</v>
      </c>
      <c r="B54" s="46">
        <f>B51-B52-B53</f>
        <v>2467075.5099999979</v>
      </c>
      <c r="C54" s="50">
        <f t="shared" ref="C54:D54" si="6">C51-C52-C53</f>
        <v>-2753252.9400000051</v>
      </c>
      <c r="D54" s="46">
        <f t="shared" si="6"/>
        <v>-26004.119999997318</v>
      </c>
      <c r="E54" s="54">
        <f t="shared" si="0"/>
        <v>-2.115998650564209</v>
      </c>
      <c r="F54" s="34">
        <f t="shared" si="0"/>
        <v>-0.99055512858183048</v>
      </c>
      <c r="G54" s="4"/>
    </row>
    <row r="55" spans="1:7" ht="15" customHeight="1" x14ac:dyDescent="0.35">
      <c r="A55" s="40" t="s">
        <v>12</v>
      </c>
      <c r="B55" s="45">
        <f>B15</f>
        <v>43722641.329999998</v>
      </c>
      <c r="C55" s="49">
        <f>C15</f>
        <v>56385713.270000003</v>
      </c>
      <c r="D55" s="45">
        <f>D15</f>
        <v>46455477.690000005</v>
      </c>
      <c r="E55" s="53">
        <f t="shared" si="0"/>
        <v>0.28962275733582743</v>
      </c>
      <c r="F55" s="30">
        <f t="shared" si="0"/>
        <v>-0.17611261796848421</v>
      </c>
    </row>
    <row r="56" spans="1:7" ht="15" customHeight="1" x14ac:dyDescent="0.35">
      <c r="A56" s="40" t="s">
        <v>13</v>
      </c>
      <c r="B56" s="45">
        <f>B27</f>
        <v>34077570.579999998</v>
      </c>
      <c r="C56" s="49">
        <f>C27</f>
        <v>36753126.769999996</v>
      </c>
      <c r="D56" s="45">
        <f>D27</f>
        <v>38882241.910000004</v>
      </c>
      <c r="E56" s="53">
        <f t="shared" si="0"/>
        <v>7.8513701078511522E-2</v>
      </c>
      <c r="F56" s="30">
        <f t="shared" si="0"/>
        <v>5.7930177024772656E-2</v>
      </c>
    </row>
    <row r="57" spans="1:7" ht="15" customHeight="1" x14ac:dyDescent="0.35">
      <c r="A57" s="40" t="s">
        <v>14</v>
      </c>
      <c r="B57" s="45">
        <f>B42+B43</f>
        <v>10600072.359999999</v>
      </c>
      <c r="C57" s="49">
        <f t="shared" ref="C57:D57" si="7">C42+C43</f>
        <v>11412481.91</v>
      </c>
      <c r="D57" s="45">
        <f t="shared" si="7"/>
        <v>4228872.26</v>
      </c>
      <c r="E57" s="53">
        <f t="shared" si="0"/>
        <v>7.6641887188023006E-2</v>
      </c>
      <c r="F57" s="30">
        <f t="shared" si="0"/>
        <v>-0.62945200760454045</v>
      </c>
    </row>
    <row r="58" spans="1:7" s="3" customFormat="1" ht="15" customHeight="1" x14ac:dyDescent="0.35">
      <c r="A58" s="42" t="s">
        <v>15</v>
      </c>
      <c r="B58" s="47">
        <f>+B54+B55-B56-B57</f>
        <v>1512073.8999999985</v>
      </c>
      <c r="C58" s="51">
        <f>+C54+C55-C56-C57</f>
        <v>5466851.6500000022</v>
      </c>
      <c r="D58" s="47">
        <f t="shared" ref="D58" si="8">+D54+D55-D56-D57</f>
        <v>3318359.4000000041</v>
      </c>
      <c r="E58" s="55">
        <f t="shared" si="0"/>
        <v>2.6154659173734878</v>
      </c>
      <c r="F58" s="35">
        <f t="shared" si="0"/>
        <v>-0.39300357638202921</v>
      </c>
      <c r="G58" s="4"/>
    </row>
    <row r="59" spans="1:7" ht="15" customHeight="1" x14ac:dyDescent="0.35">
      <c r="A59" s="40" t="s">
        <v>16</v>
      </c>
      <c r="B59" s="45">
        <f t="shared" ref="B59:D60" si="9">B20</f>
        <v>4919785.37</v>
      </c>
      <c r="C59" s="49">
        <f t="shared" si="9"/>
        <v>7278602.9799999995</v>
      </c>
      <c r="D59" s="45">
        <f t="shared" si="9"/>
        <v>5647251.2699999996</v>
      </c>
      <c r="E59" s="53">
        <f t="shared" si="0"/>
        <v>0.4794553893313438</v>
      </c>
      <c r="F59" s="30">
        <f t="shared" si="0"/>
        <v>-0.224129783487655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7089201.0499999998</v>
      </c>
      <c r="C61" s="49">
        <f t="shared" ref="C61:D61" si="10">C48</f>
        <v>9287887.6199999992</v>
      </c>
      <c r="D61" s="45">
        <f t="shared" si="10"/>
        <v>9368302.5999999996</v>
      </c>
      <c r="E61" s="53">
        <f t="shared" si="0"/>
        <v>0.31014589013525007</v>
      </c>
      <c r="F61" s="30">
        <f t="shared" si="0"/>
        <v>8.658048341028568E-3</v>
      </c>
    </row>
    <row r="62" spans="1:7" ht="15" customHeight="1" x14ac:dyDescent="0.35">
      <c r="A62" s="40" t="s">
        <v>19</v>
      </c>
      <c r="B62" s="45">
        <f>B44</f>
        <v>22537.38</v>
      </c>
      <c r="C62" s="49">
        <f t="shared" ref="C62:D62" si="11">C44</f>
        <v>33468.93</v>
      </c>
      <c r="D62" s="45">
        <f t="shared" si="11"/>
        <v>15556.21</v>
      </c>
      <c r="E62" s="53">
        <f t="shared" si="0"/>
        <v>0.48504085213099302</v>
      </c>
      <c r="F62" s="30">
        <f t="shared" si="0"/>
        <v>-0.53520444185099436</v>
      </c>
    </row>
    <row r="63" spans="1:7" s="3" customFormat="1" ht="15" customHeight="1" thickBot="1" x14ac:dyDescent="0.4">
      <c r="A63" s="43" t="s">
        <v>20</v>
      </c>
      <c r="B63" s="48">
        <f>B58+B59+B60-B61-B62</f>
        <v>-679879.1600000012</v>
      </c>
      <c r="C63" s="52">
        <f t="shared" ref="C63:D63" si="12">C58+C59+C60-C61-C62</f>
        <v>3424098.0800000033</v>
      </c>
      <c r="D63" s="48">
        <f t="shared" si="12"/>
        <v>-418248.139999996</v>
      </c>
      <c r="E63" s="56">
        <f t="shared" si="0"/>
        <v>-6.0363333390010032</v>
      </c>
      <c r="F63" s="36">
        <f t="shared" si="0"/>
        <v>-1.1221484111226148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6277819.4199999999</v>
      </c>
      <c r="C65" s="26">
        <f t="shared" ref="C65:D65" si="13">C45</f>
        <v>5997012.8899999997</v>
      </c>
      <c r="D65" s="26">
        <f t="shared" si="13"/>
        <v>6065803.9900000002</v>
      </c>
      <c r="E65" s="27">
        <f t="shared" ref="E65:E66" si="14">+IF(ISBLANK(B65),"",+C65/B65-1)</f>
        <v>-4.4729947010804683E-2</v>
      </c>
      <c r="F65" s="28">
        <f t="shared" ref="F65:F66" si="15">+IF(ISBLANK(C65),"",+D65/C65-1)</f>
        <v>1.1470894137097787E-2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4519847.53</v>
      </c>
      <c r="C66" s="19">
        <f t="shared" si="16"/>
        <v>4382160.75</v>
      </c>
      <c r="D66" s="19">
        <f t="shared" si="16"/>
        <v>4647809.0999999996</v>
      </c>
      <c r="E66" s="20">
        <f t="shared" si="14"/>
        <v>-3.0462704568266719E-2</v>
      </c>
      <c r="F66" s="30">
        <f t="shared" si="15"/>
        <v>6.0620402845787735E-2</v>
      </c>
    </row>
    <row r="67" spans="1:6" ht="15" customHeight="1" thickBot="1" x14ac:dyDescent="0.4">
      <c r="A67" s="207" t="s">
        <v>85</v>
      </c>
      <c r="B67" s="208">
        <f>B65-B66</f>
        <v>1757971.8899999997</v>
      </c>
      <c r="C67" s="208">
        <f t="shared" ref="C67:D67" si="17">C65-C66</f>
        <v>1614852.1399999997</v>
      </c>
      <c r="D67" s="208">
        <f t="shared" si="17"/>
        <v>1417994.8900000006</v>
      </c>
      <c r="E67" s="209">
        <f>+IF(ISBLANK(B67),"",+C67/B67-1)</f>
        <v>-8.1411853519455346E-2</v>
      </c>
      <c r="F67" s="210">
        <f>+IF(ISBLANK(C67),"",+D67/C67-1)</f>
        <v>-0.12190419489427629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55D5F-998F-48EB-BE9D-722652A64442}">
  <sheetPr>
    <tabColor theme="5" tint="0.79998168889431442"/>
    <pageSetUpPr fitToPage="1"/>
  </sheetPr>
  <dimension ref="A1:G72"/>
  <sheetViews>
    <sheetView topLeftCell="A10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54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13063760.369999999</v>
      </c>
      <c r="C6" s="102">
        <v>13434950.16</v>
      </c>
      <c r="D6" s="101">
        <v>13996518.699999999</v>
      </c>
      <c r="E6" s="103">
        <f>+IF(ISBLANK(B6),"",+C6/B6-1)</f>
        <v>2.8413701682129089E-2</v>
      </c>
      <c r="F6" s="104">
        <f>+IF(ISBLANK(C6),"",+D6/C6-1)</f>
        <v>4.1799078769340081E-2</v>
      </c>
    </row>
    <row r="7" spans="1:6" ht="15" customHeight="1" x14ac:dyDescent="0.35">
      <c r="A7" s="105" t="s">
        <v>2</v>
      </c>
      <c r="B7" s="106">
        <v>4061108.58</v>
      </c>
      <c r="C7" s="107">
        <v>4551990.8099999996</v>
      </c>
      <c r="D7" s="106">
        <v>5289201.62</v>
      </c>
      <c r="E7" s="108">
        <f t="shared" ref="E7:F63" si="0">+IF(ISBLANK(B7),"",+C7/B7-1)</f>
        <v>0.12087394865960444</v>
      </c>
      <c r="F7" s="109">
        <f t="shared" si="0"/>
        <v>0.16195349260821557</v>
      </c>
    </row>
    <row r="8" spans="1:6" ht="15" customHeight="1" x14ac:dyDescent="0.35">
      <c r="A8" s="105" t="s">
        <v>4</v>
      </c>
      <c r="B8" s="106">
        <v>118760.98</v>
      </c>
      <c r="C8" s="107">
        <v>122640.06</v>
      </c>
      <c r="D8" s="106">
        <v>2146.2800000000002</v>
      </c>
      <c r="E8" s="108">
        <f t="shared" si="0"/>
        <v>3.266291672567867E-2</v>
      </c>
      <c r="F8" s="109">
        <f t="shared" si="0"/>
        <v>-0.98249935624623796</v>
      </c>
    </row>
    <row r="9" spans="1:6" ht="15" customHeight="1" x14ac:dyDescent="0.35">
      <c r="A9" s="105" t="s">
        <v>3</v>
      </c>
      <c r="B9" s="106">
        <v>117529.39</v>
      </c>
      <c r="C9" s="107">
        <v>168530.71</v>
      </c>
      <c r="D9" s="106">
        <v>168326.38</v>
      </c>
      <c r="E9" s="108">
        <f t="shared" si="0"/>
        <v>0.43394524552539582</v>
      </c>
      <c r="F9" s="109">
        <f t="shared" si="0"/>
        <v>-1.2124199797175494E-3</v>
      </c>
    </row>
    <row r="10" spans="1:6" ht="15" customHeight="1" x14ac:dyDescent="0.35">
      <c r="A10" s="110" t="s">
        <v>5</v>
      </c>
      <c r="B10" s="111">
        <v>368411.42</v>
      </c>
      <c r="C10" s="112">
        <v>420728.75</v>
      </c>
      <c r="D10" s="111">
        <v>545194.21</v>
      </c>
      <c r="E10" s="113">
        <f t="shared" si="0"/>
        <v>0.14200789432640293</v>
      </c>
      <c r="F10" s="114">
        <f t="shared" si="0"/>
        <v>0.29583302781186216</v>
      </c>
    </row>
    <row r="11" spans="1:6" s="3" customFormat="1" ht="15" customHeight="1" x14ac:dyDescent="0.35">
      <c r="A11" s="64" t="s">
        <v>62</v>
      </c>
      <c r="B11" s="67">
        <f>SUM(B6:B10)</f>
        <v>17729570.740000002</v>
      </c>
      <c r="C11" s="70">
        <f t="shared" ref="C11:D11" si="1">SUM(C6:C10)</f>
        <v>18698840.489999998</v>
      </c>
      <c r="D11" s="67">
        <f t="shared" si="1"/>
        <v>20001387.190000001</v>
      </c>
      <c r="E11" s="73">
        <f t="shared" si="0"/>
        <v>5.4669668217810274E-2</v>
      </c>
      <c r="F11" s="38">
        <f t="shared" si="0"/>
        <v>6.9659223024903349E-2</v>
      </c>
    </row>
    <row r="12" spans="1:6" ht="15" customHeight="1" x14ac:dyDescent="0.35">
      <c r="A12" s="115" t="s">
        <v>29</v>
      </c>
      <c r="B12" s="116">
        <v>10099589</v>
      </c>
      <c r="C12" s="117">
        <v>13272524.439999999</v>
      </c>
      <c r="D12" s="116">
        <v>12564475</v>
      </c>
      <c r="E12" s="118">
        <f t="shared" si="0"/>
        <v>0.31416480809268577</v>
      </c>
      <c r="F12" s="119">
        <f t="shared" si="0"/>
        <v>-5.3347005929491376E-2</v>
      </c>
    </row>
    <row r="13" spans="1:6" ht="15" customHeight="1" x14ac:dyDescent="0.35">
      <c r="A13" s="105" t="s">
        <v>60</v>
      </c>
      <c r="B13" s="106">
        <v>440796.35</v>
      </c>
      <c r="C13" s="107">
        <v>459228.3</v>
      </c>
      <c r="D13" s="106">
        <v>476646.81</v>
      </c>
      <c r="E13" s="108">
        <f t="shared" si="0"/>
        <v>4.1815114848387402E-2</v>
      </c>
      <c r="F13" s="109">
        <f t="shared" si="0"/>
        <v>3.7929957713842999E-2</v>
      </c>
    </row>
    <row r="14" spans="1:6" ht="15" customHeight="1" x14ac:dyDescent="0.35">
      <c r="A14" s="110" t="s">
        <v>61</v>
      </c>
      <c r="B14" s="111">
        <v>124112.90999999993</v>
      </c>
      <c r="C14" s="112">
        <v>46718.280000000967</v>
      </c>
      <c r="D14" s="111">
        <v>72670.490000000893</v>
      </c>
      <c r="E14" s="113">
        <f t="shared" si="0"/>
        <v>-0.62358242990192569</v>
      </c>
      <c r="F14" s="114">
        <f t="shared" si="0"/>
        <v>0.5555043978502503</v>
      </c>
    </row>
    <row r="15" spans="1:6" s="3" customFormat="1" ht="15" customHeight="1" x14ac:dyDescent="0.35">
      <c r="A15" s="64" t="s">
        <v>63</v>
      </c>
      <c r="B15" s="67">
        <f>SUM(B12:B14)</f>
        <v>10664498.26</v>
      </c>
      <c r="C15" s="70">
        <f t="shared" ref="C15:D15" si="2">SUM(C12:C14)</f>
        <v>13778471.020000001</v>
      </c>
      <c r="D15" s="67">
        <f t="shared" si="2"/>
        <v>13113792.300000001</v>
      </c>
      <c r="E15" s="73">
        <f t="shared" si="0"/>
        <v>0.29199430522481995</v>
      </c>
      <c r="F15" s="38">
        <f t="shared" si="0"/>
        <v>-4.824038306102274E-2</v>
      </c>
    </row>
    <row r="16" spans="1:6" s="11" customFormat="1" ht="15" customHeight="1" x14ac:dyDescent="0.35">
      <c r="A16" s="120" t="s">
        <v>74</v>
      </c>
      <c r="B16" s="121">
        <v>3534105.62</v>
      </c>
      <c r="C16" s="122">
        <v>3470232.12</v>
      </c>
      <c r="D16" s="121">
        <v>3483377.63</v>
      </c>
      <c r="E16" s="123">
        <f t="shared" si="0"/>
        <v>-1.8073455314558506E-2</v>
      </c>
      <c r="F16" s="124">
        <f t="shared" si="0"/>
        <v>3.7880780147927506E-3</v>
      </c>
    </row>
    <row r="17" spans="1:6" s="11" customFormat="1" ht="15" customHeight="1" x14ac:dyDescent="0.35">
      <c r="A17" s="125" t="s">
        <v>71</v>
      </c>
      <c r="B17" s="126">
        <v>650578.42000000004</v>
      </c>
      <c r="C17" s="127">
        <v>250000</v>
      </c>
      <c r="D17" s="126">
        <v>510000</v>
      </c>
      <c r="E17" s="128">
        <f t="shared" si="0"/>
        <v>-0.61572657144084186</v>
      </c>
      <c r="F17" s="129">
        <f t="shared" si="0"/>
        <v>1.04</v>
      </c>
    </row>
    <row r="18" spans="1:6" s="11" customFormat="1" ht="15" customHeight="1" x14ac:dyDescent="0.35">
      <c r="A18" s="125" t="s">
        <v>72</v>
      </c>
      <c r="B18" s="126">
        <v>2565.23</v>
      </c>
      <c r="C18" s="127">
        <v>6532.37</v>
      </c>
      <c r="D18" s="126">
        <v>3105.02</v>
      </c>
      <c r="E18" s="128">
        <f t="shared" si="0"/>
        <v>1.5465046019265327</v>
      </c>
      <c r="F18" s="129">
        <f t="shared" si="0"/>
        <v>-0.52467175006927036</v>
      </c>
    </row>
    <row r="19" spans="1:6" s="11" customFormat="1" ht="15" customHeight="1" x14ac:dyDescent="0.35">
      <c r="A19" s="130" t="s">
        <v>73</v>
      </c>
      <c r="B19" s="131">
        <v>79102.8</v>
      </c>
      <c r="C19" s="132">
        <v>88799.46</v>
      </c>
      <c r="D19" s="131">
        <v>95193.26</v>
      </c>
      <c r="E19" s="133">
        <f t="shared" si="0"/>
        <v>0.12258301855307274</v>
      </c>
      <c r="F19" s="134">
        <f t="shared" si="0"/>
        <v>7.2002690106448775E-2</v>
      </c>
    </row>
    <row r="20" spans="1:6" ht="15" customHeight="1" x14ac:dyDescent="0.35">
      <c r="A20" s="65" t="s">
        <v>84</v>
      </c>
      <c r="B20" s="68">
        <f>SUM(B16:B19)</f>
        <v>4266352.07</v>
      </c>
      <c r="C20" s="71">
        <f t="shared" ref="C20:D20" si="3">SUM(C16:C19)</f>
        <v>3815563.95</v>
      </c>
      <c r="D20" s="68">
        <f t="shared" si="3"/>
        <v>4091675.9099999997</v>
      </c>
      <c r="E20" s="74">
        <f t="shared" si="0"/>
        <v>-0.10566125640915525</v>
      </c>
      <c r="F20" s="32">
        <f t="shared" si="0"/>
        <v>7.2364652674737462E-2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32660421.07</v>
      </c>
      <c r="C22" s="87">
        <f>C11+C15+C20+C21</f>
        <v>36292875.460000001</v>
      </c>
      <c r="D22" s="86">
        <f>D11+D15+D20+D21</f>
        <v>37206855.399999999</v>
      </c>
      <c r="E22" s="88">
        <f t="shared" si="0"/>
        <v>0.1112188474917295</v>
      </c>
      <c r="F22" s="89">
        <f t="shared" si="0"/>
        <v>2.5183453457892524E-2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8418108.5199999996</v>
      </c>
      <c r="C24" s="155">
        <v>9036255.1900000013</v>
      </c>
      <c r="D24" s="155">
        <v>9311993.0700000003</v>
      </c>
      <c r="E24" s="156">
        <f t="shared" si="0"/>
        <v>7.3430589369499089E-2</v>
      </c>
      <c r="F24" s="104">
        <f t="shared" si="0"/>
        <v>3.0514618523074244E-2</v>
      </c>
    </row>
    <row r="25" spans="1:6" ht="15" customHeight="1" x14ac:dyDescent="0.35">
      <c r="A25" s="157" t="s">
        <v>40</v>
      </c>
      <c r="B25" s="158">
        <v>4042282.2</v>
      </c>
      <c r="C25" s="158">
        <v>4325275.43</v>
      </c>
      <c r="D25" s="158">
        <v>4475398.1900000004</v>
      </c>
      <c r="E25" s="159">
        <f t="shared" si="0"/>
        <v>7.0008281460408606E-2</v>
      </c>
      <c r="F25" s="109">
        <f t="shared" si="0"/>
        <v>3.4708254405893646E-2</v>
      </c>
    </row>
    <row r="26" spans="1:6" ht="15" customHeight="1" x14ac:dyDescent="0.35">
      <c r="A26" s="160" t="s">
        <v>41</v>
      </c>
      <c r="B26" s="161">
        <v>108324.68000000001</v>
      </c>
      <c r="C26" s="161">
        <v>134491.28</v>
      </c>
      <c r="D26" s="161">
        <v>163408.6</v>
      </c>
      <c r="E26" s="162">
        <f t="shared" si="0"/>
        <v>0.24155714099501591</v>
      </c>
      <c r="F26" s="114">
        <f t="shared" si="0"/>
        <v>0.21501260156048785</v>
      </c>
    </row>
    <row r="27" spans="1:6" ht="15" customHeight="1" x14ac:dyDescent="0.35">
      <c r="A27" s="31" t="s">
        <v>65</v>
      </c>
      <c r="B27" s="23">
        <f>B24+B25+B26</f>
        <v>12568715.399999999</v>
      </c>
      <c r="C27" s="23">
        <f t="shared" ref="C27:D27" si="4">C24+C25+C26</f>
        <v>13496021.9</v>
      </c>
      <c r="D27" s="23">
        <f t="shared" si="4"/>
        <v>13950799.860000001</v>
      </c>
      <c r="E27" s="24">
        <f t="shared" si="0"/>
        <v>7.3778940049832098E-2</v>
      </c>
      <c r="F27" s="32">
        <f t="shared" si="0"/>
        <v>3.3697185983375011E-2</v>
      </c>
    </row>
    <row r="28" spans="1:6" ht="15" customHeight="1" x14ac:dyDescent="0.35">
      <c r="A28" s="33" t="s">
        <v>66</v>
      </c>
      <c r="B28" s="23">
        <v>2933415.7100000004</v>
      </c>
      <c r="C28" s="23">
        <v>4050436.3200000003</v>
      </c>
      <c r="D28" s="23">
        <v>4211448.58</v>
      </c>
      <c r="E28" s="24">
        <f t="shared" si="0"/>
        <v>0.38079178692337456</v>
      </c>
      <c r="F28" s="32">
        <f t="shared" si="0"/>
        <v>3.9751830982988956E-2</v>
      </c>
    </row>
    <row r="29" spans="1:6" s="6" customFormat="1" ht="15" customHeight="1" x14ac:dyDescent="0.35">
      <c r="A29" s="182" t="s">
        <v>26</v>
      </c>
      <c r="B29" s="183">
        <v>2582880.7800000003</v>
      </c>
      <c r="C29" s="183">
        <v>3668313.03</v>
      </c>
      <c r="D29" s="183">
        <v>3863379.8</v>
      </c>
      <c r="E29" s="184">
        <f t="shared" si="0"/>
        <v>0.42024094120209421</v>
      </c>
      <c r="F29" s="185">
        <f t="shared" si="0"/>
        <v>5.3176151654647619E-2</v>
      </c>
    </row>
    <row r="30" spans="1:6" s="163" customFormat="1" ht="15" customHeight="1" x14ac:dyDescent="0.35">
      <c r="A30" s="171" t="s">
        <v>76</v>
      </c>
      <c r="B30" s="172">
        <f>SUM(B31:B36)</f>
        <v>2622030.37</v>
      </c>
      <c r="C30" s="172">
        <f t="shared" ref="C30:D30" si="5">SUM(C31:C36)</f>
        <v>4091300.63</v>
      </c>
      <c r="D30" s="172">
        <f t="shared" si="5"/>
        <v>3500011.93</v>
      </c>
      <c r="E30" s="169">
        <f t="shared" si="0"/>
        <v>0.56035592753260133</v>
      </c>
      <c r="F30" s="170">
        <f t="shared" si="0"/>
        <v>-0.14452340550686926</v>
      </c>
    </row>
    <row r="31" spans="1:6" s="9" customFormat="1" ht="15" customHeight="1" x14ac:dyDescent="0.35">
      <c r="A31" s="165" t="s">
        <v>21</v>
      </c>
      <c r="B31" s="166">
        <v>1324367.97</v>
      </c>
      <c r="C31" s="166">
        <v>1610822.14</v>
      </c>
      <c r="D31" s="166">
        <v>1698461.32</v>
      </c>
      <c r="E31" s="167">
        <f t="shared" si="0"/>
        <v>0.21629499994627621</v>
      </c>
      <c r="F31" s="168">
        <f t="shared" si="0"/>
        <v>5.4406490837033195E-2</v>
      </c>
    </row>
    <row r="32" spans="1:6" s="9" customFormat="1" ht="15" customHeight="1" x14ac:dyDescent="0.35">
      <c r="A32" s="165" t="s">
        <v>22</v>
      </c>
      <c r="B32" s="166">
        <v>101433.81</v>
      </c>
      <c r="C32" s="166">
        <v>65553.119999999995</v>
      </c>
      <c r="D32" s="166">
        <v>81335.19</v>
      </c>
      <c r="E32" s="167">
        <f t="shared" si="0"/>
        <v>-0.3537350120240973</v>
      </c>
      <c r="F32" s="168">
        <f t="shared" si="0"/>
        <v>0.24075238524116016</v>
      </c>
    </row>
    <row r="33" spans="1:6" s="9" customFormat="1" ht="15" customHeight="1" x14ac:dyDescent="0.35">
      <c r="A33" s="165" t="s">
        <v>23</v>
      </c>
      <c r="B33" s="166">
        <v>519364.54</v>
      </c>
      <c r="C33" s="166">
        <v>928927.66</v>
      </c>
      <c r="D33" s="166">
        <v>895917.93</v>
      </c>
      <c r="E33" s="167">
        <f t="shared" si="0"/>
        <v>0.78858506589610466</v>
      </c>
      <c r="F33" s="168">
        <f t="shared" si="0"/>
        <v>-3.5535307453327447E-2</v>
      </c>
    </row>
    <row r="34" spans="1:6" s="9" customFormat="1" ht="15" customHeight="1" x14ac:dyDescent="0.35">
      <c r="A34" s="165" t="s">
        <v>24</v>
      </c>
      <c r="B34" s="166">
        <v>131131.63</v>
      </c>
      <c r="C34" s="166">
        <v>918884.84</v>
      </c>
      <c r="D34" s="166">
        <v>172082.39</v>
      </c>
      <c r="E34" s="167">
        <f t="shared" si="0"/>
        <v>6.0073470451026951</v>
      </c>
      <c r="F34" s="168">
        <f t="shared" si="0"/>
        <v>-0.81272692451863715</v>
      </c>
    </row>
    <row r="35" spans="1:6" s="9" customFormat="1" ht="15" customHeight="1" x14ac:dyDescent="0.35">
      <c r="A35" s="165" t="s">
        <v>25</v>
      </c>
      <c r="B35" s="166">
        <v>545732.42000000004</v>
      </c>
      <c r="C35" s="166">
        <v>567112.87</v>
      </c>
      <c r="D35" s="166">
        <v>652215.1</v>
      </c>
      <c r="E35" s="167">
        <f t="shared" si="0"/>
        <v>3.9177533194747705E-2</v>
      </c>
      <c r="F35" s="168">
        <f t="shared" si="0"/>
        <v>0.15006224422309433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3170087.8200000003</v>
      </c>
      <c r="C37" s="172">
        <v>3142120.71</v>
      </c>
      <c r="D37" s="172">
        <v>3163846.7199999997</v>
      </c>
      <c r="E37" s="169">
        <f t="shared" si="0"/>
        <v>-8.8221877714417252E-3</v>
      </c>
      <c r="F37" s="170">
        <f t="shared" si="0"/>
        <v>6.9144415524380332E-3</v>
      </c>
    </row>
    <row r="38" spans="1:6" s="7" customFormat="1" ht="15" customHeight="1" x14ac:dyDescent="0.35">
      <c r="A38" s="173" t="s">
        <v>70</v>
      </c>
      <c r="B38" s="174">
        <v>2856034.81</v>
      </c>
      <c r="C38" s="174">
        <v>2748169.01</v>
      </c>
      <c r="D38" s="174">
        <v>2888518.16</v>
      </c>
      <c r="E38" s="169">
        <f t="shared" si="0"/>
        <v>-3.7767676928279537E-2</v>
      </c>
      <c r="F38" s="170">
        <f t="shared" si="0"/>
        <v>5.1070057732730323E-2</v>
      </c>
    </row>
    <row r="39" spans="1:6" s="10" customFormat="1" ht="15" customHeight="1" x14ac:dyDescent="0.35">
      <c r="A39" s="171" t="s">
        <v>78</v>
      </c>
      <c r="B39" s="172">
        <v>3562711.2100000004</v>
      </c>
      <c r="C39" s="172">
        <v>1909135.6600000001</v>
      </c>
      <c r="D39" s="172">
        <v>2456911.9500000002</v>
      </c>
      <c r="E39" s="169">
        <f t="shared" si="0"/>
        <v>-0.46413404077171894</v>
      </c>
      <c r="F39" s="170">
        <f t="shared" si="0"/>
        <v>0.28692371185398113</v>
      </c>
    </row>
    <row r="40" spans="1:6" s="10" customFormat="1" ht="15" customHeight="1" x14ac:dyDescent="0.35">
      <c r="A40" s="175" t="s">
        <v>79</v>
      </c>
      <c r="B40" s="176">
        <v>2249322.1099999994</v>
      </c>
      <c r="C40" s="176">
        <v>2131387.6500000008</v>
      </c>
      <c r="D40" s="176">
        <v>2201222.4500000002</v>
      </c>
      <c r="E40" s="177">
        <f t="shared" si="0"/>
        <v>-5.2431112234075927E-2</v>
      </c>
      <c r="F40" s="178">
        <f t="shared" si="0"/>
        <v>3.2764945410094448E-2</v>
      </c>
    </row>
    <row r="41" spans="1:6" ht="15" customHeight="1" x14ac:dyDescent="0.35">
      <c r="A41" s="31" t="s">
        <v>75</v>
      </c>
      <c r="B41" s="23">
        <f>+B30+B37+B39+B40</f>
        <v>11604151.51</v>
      </c>
      <c r="C41" s="23">
        <f>+C30+C37+C39+C40</f>
        <v>11273944.65</v>
      </c>
      <c r="D41" s="23">
        <f>+D30+D37+D39+D40</f>
        <v>11321993.050000001</v>
      </c>
      <c r="E41" s="24">
        <f t="shared" si="0"/>
        <v>-2.845592456419066E-2</v>
      </c>
      <c r="F41" s="32">
        <f t="shared" si="0"/>
        <v>4.2618978087674009E-3</v>
      </c>
    </row>
    <row r="42" spans="1:6" ht="15" customHeight="1" x14ac:dyDescent="0.35">
      <c r="A42" s="33" t="s">
        <v>67</v>
      </c>
      <c r="B42" s="23">
        <v>705235.11</v>
      </c>
      <c r="C42" s="23">
        <v>841141.89</v>
      </c>
      <c r="D42" s="23">
        <v>837104.32</v>
      </c>
      <c r="E42" s="24">
        <f t="shared" si="0"/>
        <v>0.19271130729722175</v>
      </c>
      <c r="F42" s="32">
        <f t="shared" si="0"/>
        <v>-4.8001057229477562E-3</v>
      </c>
    </row>
    <row r="43" spans="1:6" ht="15" customHeight="1" x14ac:dyDescent="0.35">
      <c r="A43" s="33" t="s">
        <v>68</v>
      </c>
      <c r="B43" s="23">
        <v>66968.259999999995</v>
      </c>
      <c r="C43" s="23">
        <v>44733.58</v>
      </c>
      <c r="D43" s="23">
        <v>133608.04</v>
      </c>
      <c r="E43" s="24">
        <f t="shared" si="0"/>
        <v>-0.33201818294218777</v>
      </c>
      <c r="F43" s="32">
        <f t="shared" si="0"/>
        <v>1.9867504456383771</v>
      </c>
    </row>
    <row r="44" spans="1:6" ht="15" customHeight="1" x14ac:dyDescent="0.35">
      <c r="A44" s="33" t="s">
        <v>69</v>
      </c>
      <c r="B44" s="23">
        <v>114684.37</v>
      </c>
      <c r="C44" s="23">
        <v>165428.26999999999</v>
      </c>
      <c r="D44" s="23">
        <v>202161.67</v>
      </c>
      <c r="E44" s="24">
        <f t="shared" si="0"/>
        <v>0.44246569955435078</v>
      </c>
      <c r="F44" s="32">
        <f t="shared" si="0"/>
        <v>0.2220503182436715</v>
      </c>
    </row>
    <row r="45" spans="1:6" ht="15" customHeight="1" x14ac:dyDescent="0.35">
      <c r="A45" s="186" t="s">
        <v>80</v>
      </c>
      <c r="B45" s="187">
        <v>4847999.8899999997</v>
      </c>
      <c r="C45" s="187">
        <v>4784846.79</v>
      </c>
      <c r="D45" s="187">
        <v>4899982.1399999997</v>
      </c>
      <c r="E45" s="188">
        <f t="shared" si="0"/>
        <v>-1.3026629833524983E-2</v>
      </c>
      <c r="F45" s="189">
        <f t="shared" si="0"/>
        <v>2.4062494590344041E-2</v>
      </c>
    </row>
    <row r="46" spans="1:6" ht="15" customHeight="1" x14ac:dyDescent="0.35">
      <c r="A46" s="171" t="s">
        <v>81</v>
      </c>
      <c r="B46" s="190">
        <v>431716.68</v>
      </c>
      <c r="C46" s="190">
        <v>1073202.57</v>
      </c>
      <c r="D46" s="190">
        <v>1179827.43</v>
      </c>
      <c r="E46" s="191">
        <f t="shared" si="0"/>
        <v>1.4858955414926291</v>
      </c>
      <c r="F46" s="192">
        <f t="shared" si="0"/>
        <v>9.9352035655300153E-2</v>
      </c>
    </row>
    <row r="47" spans="1:6" ht="15" customHeight="1" x14ac:dyDescent="0.35">
      <c r="A47" s="175" t="s">
        <v>82</v>
      </c>
      <c r="B47" s="193"/>
      <c r="C47" s="193">
        <v>8011.16</v>
      </c>
      <c r="D47" s="193">
        <v>12197.56</v>
      </c>
      <c r="E47" s="194" t="str">
        <f t="shared" si="0"/>
        <v/>
      </c>
      <c r="F47" s="195">
        <f t="shared" si="0"/>
        <v>0.52257101343625645</v>
      </c>
    </row>
    <row r="48" spans="1:6" ht="15" customHeight="1" thickBot="1" x14ac:dyDescent="0.4">
      <c r="A48" s="90" t="s">
        <v>83</v>
      </c>
      <c r="B48" s="91">
        <v>5279716.57</v>
      </c>
      <c r="C48" s="91">
        <v>5866060.5199999996</v>
      </c>
      <c r="D48" s="91">
        <v>6092007.1299999999</v>
      </c>
      <c r="E48" s="92">
        <f t="shared" si="0"/>
        <v>0.11105595200539331</v>
      </c>
      <c r="F48" s="79">
        <f t="shared" si="0"/>
        <v>3.8517606361142764E-2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33272886.93</v>
      </c>
      <c r="C49" s="97">
        <f>C27+C28+C41+C42+C43+C44+C48</f>
        <v>35737767.129999995</v>
      </c>
      <c r="D49" s="97">
        <f>D27+D28+D41+D42+D43+D44+D48</f>
        <v>36749122.650000006</v>
      </c>
      <c r="E49" s="98">
        <f t="shared" si="0"/>
        <v>7.4080743434906893E-2</v>
      </c>
      <c r="F49" s="99">
        <f t="shared" si="0"/>
        <v>2.8299348314658079E-2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17729570.740000002</v>
      </c>
      <c r="C51" s="58">
        <f>+C11</f>
        <v>18698840.489999998</v>
      </c>
      <c r="D51" s="44">
        <f>+D11</f>
        <v>20001387.190000001</v>
      </c>
      <c r="E51" s="59">
        <f t="shared" si="0"/>
        <v>5.4669668217810274E-2</v>
      </c>
      <c r="F51" s="28">
        <f t="shared" si="0"/>
        <v>6.9659223024903349E-2</v>
      </c>
    </row>
    <row r="52" spans="1:7" ht="15" customHeight="1" x14ac:dyDescent="0.35">
      <c r="A52" s="40" t="s">
        <v>9</v>
      </c>
      <c r="B52" s="45">
        <f>+B28</f>
        <v>2933415.7100000004</v>
      </c>
      <c r="C52" s="49">
        <f>+C28</f>
        <v>4050436.3200000003</v>
      </c>
      <c r="D52" s="45">
        <f>+D28</f>
        <v>4211448.58</v>
      </c>
      <c r="E52" s="53">
        <f t="shared" si="0"/>
        <v>0.38079178692337456</v>
      </c>
      <c r="F52" s="30">
        <f t="shared" si="0"/>
        <v>3.9751830982988956E-2</v>
      </c>
    </row>
    <row r="53" spans="1:7" ht="15" customHeight="1" x14ac:dyDescent="0.35">
      <c r="A53" s="40" t="s">
        <v>10</v>
      </c>
      <c r="B53" s="45">
        <f>+B41</f>
        <v>11604151.51</v>
      </c>
      <c r="C53" s="49">
        <f>+C41</f>
        <v>11273944.65</v>
      </c>
      <c r="D53" s="45">
        <f>+D41</f>
        <v>11321993.050000001</v>
      </c>
      <c r="E53" s="53">
        <f t="shared" si="0"/>
        <v>-2.845592456419066E-2</v>
      </c>
      <c r="F53" s="30">
        <f t="shared" si="0"/>
        <v>4.2618978087674009E-3</v>
      </c>
    </row>
    <row r="54" spans="1:7" s="3" customFormat="1" ht="15" customHeight="1" x14ac:dyDescent="0.35">
      <c r="A54" s="41" t="s">
        <v>11</v>
      </c>
      <c r="B54" s="46">
        <f>B51-B52-B53</f>
        <v>3192003.5200000014</v>
      </c>
      <c r="C54" s="50">
        <f t="shared" ref="C54:D54" si="6">C51-C52-C53</f>
        <v>3374459.5199999977</v>
      </c>
      <c r="D54" s="46">
        <f t="shared" si="6"/>
        <v>4467945.5600000005</v>
      </c>
      <c r="E54" s="54">
        <f t="shared" si="0"/>
        <v>5.7160337968548358E-2</v>
      </c>
      <c r="F54" s="34">
        <f t="shared" si="0"/>
        <v>0.32404775743168601</v>
      </c>
      <c r="G54" s="4"/>
    </row>
    <row r="55" spans="1:7" ht="15" customHeight="1" x14ac:dyDescent="0.35">
      <c r="A55" s="40" t="s">
        <v>12</v>
      </c>
      <c r="B55" s="45">
        <f>B15</f>
        <v>10664498.26</v>
      </c>
      <c r="C55" s="49">
        <f>C15</f>
        <v>13778471.020000001</v>
      </c>
      <c r="D55" s="45">
        <f>D15</f>
        <v>13113792.300000001</v>
      </c>
      <c r="E55" s="53">
        <f t="shared" si="0"/>
        <v>0.29199430522481995</v>
      </c>
      <c r="F55" s="30">
        <f t="shared" si="0"/>
        <v>-4.824038306102274E-2</v>
      </c>
    </row>
    <row r="56" spans="1:7" ht="15" customHeight="1" x14ac:dyDescent="0.35">
      <c r="A56" s="40" t="s">
        <v>13</v>
      </c>
      <c r="B56" s="45">
        <f>B27</f>
        <v>12568715.399999999</v>
      </c>
      <c r="C56" s="49">
        <f>C27</f>
        <v>13496021.9</v>
      </c>
      <c r="D56" s="45">
        <f>D27</f>
        <v>13950799.860000001</v>
      </c>
      <c r="E56" s="53">
        <f t="shared" si="0"/>
        <v>7.3778940049832098E-2</v>
      </c>
      <c r="F56" s="30">
        <f t="shared" si="0"/>
        <v>3.3697185983375011E-2</v>
      </c>
    </row>
    <row r="57" spans="1:7" ht="15" customHeight="1" x14ac:dyDescent="0.35">
      <c r="A57" s="40" t="s">
        <v>14</v>
      </c>
      <c r="B57" s="45">
        <f>B42+B43</f>
        <v>772203.37</v>
      </c>
      <c r="C57" s="49">
        <f t="shared" ref="C57:D57" si="7">C42+C43</f>
        <v>885875.47</v>
      </c>
      <c r="D57" s="45">
        <f t="shared" si="7"/>
        <v>970712.36</v>
      </c>
      <c r="E57" s="53">
        <f t="shared" si="0"/>
        <v>0.14720487428072215</v>
      </c>
      <c r="F57" s="30">
        <f t="shared" si="0"/>
        <v>9.5766157742238844E-2</v>
      </c>
    </row>
    <row r="58" spans="1:7" s="3" customFormat="1" ht="15" customHeight="1" x14ac:dyDescent="0.35">
      <c r="A58" s="42" t="s">
        <v>15</v>
      </c>
      <c r="B58" s="47">
        <f>+B54+B55-B56-B57</f>
        <v>515583.01000000269</v>
      </c>
      <c r="C58" s="51">
        <f>+C54+C55-C56-C57</f>
        <v>2771033.169999999</v>
      </c>
      <c r="D58" s="47">
        <f t="shared" ref="D58" si="8">+D54+D55-D56-D57</f>
        <v>2660225.6399999983</v>
      </c>
      <c r="E58" s="55">
        <f t="shared" si="0"/>
        <v>4.3745626140783509</v>
      </c>
      <c r="F58" s="35">
        <f t="shared" si="0"/>
        <v>-3.9987803538274025E-2</v>
      </c>
      <c r="G58" s="4"/>
    </row>
    <row r="59" spans="1:7" ht="15" customHeight="1" x14ac:dyDescent="0.35">
      <c r="A59" s="40" t="s">
        <v>16</v>
      </c>
      <c r="B59" s="45">
        <f t="shared" ref="B59:D60" si="9">B20</f>
        <v>4266352.07</v>
      </c>
      <c r="C59" s="49">
        <f t="shared" si="9"/>
        <v>3815563.95</v>
      </c>
      <c r="D59" s="45">
        <f t="shared" si="9"/>
        <v>4091675.9099999997</v>
      </c>
      <c r="E59" s="53">
        <f t="shared" si="0"/>
        <v>-0.10566125640915525</v>
      </c>
      <c r="F59" s="30">
        <f t="shared" si="0"/>
        <v>7.2364652674737462E-2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5279716.57</v>
      </c>
      <c r="C61" s="49">
        <f t="shared" ref="C61:D61" si="10">C48</f>
        <v>5866060.5199999996</v>
      </c>
      <c r="D61" s="45">
        <f t="shared" si="10"/>
        <v>6092007.1299999999</v>
      </c>
      <c r="E61" s="53">
        <f t="shared" si="0"/>
        <v>0.11105595200539331</v>
      </c>
      <c r="F61" s="30">
        <f t="shared" si="0"/>
        <v>3.8517606361142764E-2</v>
      </c>
    </row>
    <row r="62" spans="1:7" ht="15" customHeight="1" x14ac:dyDescent="0.35">
      <c r="A62" s="40" t="s">
        <v>19</v>
      </c>
      <c r="B62" s="45">
        <f>B44</f>
        <v>114684.37</v>
      </c>
      <c r="C62" s="49">
        <f t="shared" ref="C62:D62" si="11">C44</f>
        <v>165428.26999999999</v>
      </c>
      <c r="D62" s="45">
        <f t="shared" si="11"/>
        <v>202161.67</v>
      </c>
      <c r="E62" s="53">
        <f t="shared" si="0"/>
        <v>0.44246569955435078</v>
      </c>
      <c r="F62" s="30">
        <f t="shared" si="0"/>
        <v>0.2220503182436715</v>
      </c>
    </row>
    <row r="63" spans="1:7" s="3" customFormat="1" ht="15" customHeight="1" thickBot="1" x14ac:dyDescent="0.4">
      <c r="A63" s="43" t="s">
        <v>20</v>
      </c>
      <c r="B63" s="48">
        <f>B58+B59+B60-B61-B62</f>
        <v>-612465.85999999742</v>
      </c>
      <c r="C63" s="52">
        <f t="shared" ref="C63:D63" si="12">C58+C59+C60-C61-C62</f>
        <v>555108.32999999961</v>
      </c>
      <c r="D63" s="48">
        <f t="shared" si="12"/>
        <v>457732.74999999802</v>
      </c>
      <c r="E63" s="56">
        <f t="shared" si="0"/>
        <v>-1.9063498331155992</v>
      </c>
      <c r="F63" s="36">
        <f t="shared" si="0"/>
        <v>-0.17541725594354107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4847999.8899999997</v>
      </c>
      <c r="C65" s="26">
        <f t="shared" ref="C65:D65" si="13">C45</f>
        <v>4784846.79</v>
      </c>
      <c r="D65" s="26">
        <f t="shared" si="13"/>
        <v>4899982.1399999997</v>
      </c>
      <c r="E65" s="27">
        <f t="shared" ref="E65:E66" si="14">+IF(ISBLANK(B65),"",+C65/B65-1)</f>
        <v>-1.3026629833524983E-2</v>
      </c>
      <c r="F65" s="28">
        <f t="shared" ref="F65:F66" si="15">+IF(ISBLANK(C65),"",+D65/C65-1)</f>
        <v>2.4062494590344041E-2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3534105.62</v>
      </c>
      <c r="C66" s="19">
        <f t="shared" si="16"/>
        <v>3470232.12</v>
      </c>
      <c r="D66" s="19">
        <f t="shared" si="16"/>
        <v>3483377.63</v>
      </c>
      <c r="E66" s="20">
        <f t="shared" si="14"/>
        <v>-1.8073455314558506E-2</v>
      </c>
      <c r="F66" s="30">
        <f t="shared" si="15"/>
        <v>3.7880780147927506E-3</v>
      </c>
    </row>
    <row r="67" spans="1:6" ht="15" customHeight="1" thickBot="1" x14ac:dyDescent="0.4">
      <c r="A67" s="207" t="s">
        <v>85</v>
      </c>
      <c r="B67" s="208">
        <f>B65-B66</f>
        <v>1313894.2699999996</v>
      </c>
      <c r="C67" s="208">
        <f t="shared" ref="C67:D67" si="17">C65-C66</f>
        <v>1314614.67</v>
      </c>
      <c r="D67" s="208">
        <f t="shared" si="17"/>
        <v>1416604.5099999998</v>
      </c>
      <c r="E67" s="209">
        <f>+IF(ISBLANK(B67),"",+C67/B67-1)</f>
        <v>5.4829373751696941E-4</v>
      </c>
      <c r="F67" s="210">
        <f>+IF(ISBLANK(C67),"",+D67/C67-1)</f>
        <v>7.7581547146434726E-2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61AC8-F9FE-4453-9C2B-08C4C0A91408}">
  <sheetPr>
    <tabColor theme="5" tint="0.79998168889431442"/>
    <pageSetUpPr fitToPage="1"/>
  </sheetPr>
  <dimension ref="A1:G72"/>
  <sheetViews>
    <sheetView topLeftCell="A13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55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8016726.0899999999</v>
      </c>
      <c r="C6" s="102">
        <v>8303596.1600000001</v>
      </c>
      <c r="D6" s="101">
        <v>9009070.1300000008</v>
      </c>
      <c r="E6" s="103">
        <f>+IF(ISBLANK(B6),"",+C6/B6-1)</f>
        <v>3.5783943068460333E-2</v>
      </c>
      <c r="F6" s="104">
        <f>+IF(ISBLANK(C6),"",+D6/C6-1)</f>
        <v>8.4960053018763526E-2</v>
      </c>
    </row>
    <row r="7" spans="1:6" ht="15" customHeight="1" x14ac:dyDescent="0.35">
      <c r="A7" s="105" t="s">
        <v>2</v>
      </c>
      <c r="B7" s="106">
        <v>2202372.0699999998</v>
      </c>
      <c r="C7" s="107">
        <v>2422027.2599999998</v>
      </c>
      <c r="D7" s="106">
        <v>2503781.1</v>
      </c>
      <c r="E7" s="108">
        <f t="shared" ref="E7:F63" si="0">+IF(ISBLANK(B7),"",+C7/B7-1)</f>
        <v>9.9735731755806301E-2</v>
      </c>
      <c r="F7" s="109">
        <f t="shared" si="0"/>
        <v>3.3754302170818873E-2</v>
      </c>
    </row>
    <row r="8" spans="1:6" ht="15" customHeight="1" x14ac:dyDescent="0.35">
      <c r="A8" s="105" t="s">
        <v>4</v>
      </c>
      <c r="B8" s="106">
        <v>47544.11</v>
      </c>
      <c r="C8" s="107">
        <v>44072.58</v>
      </c>
      <c r="D8" s="106">
        <v>60031.7</v>
      </c>
      <c r="E8" s="108">
        <f t="shared" si="0"/>
        <v>-7.3017036179665595E-2</v>
      </c>
      <c r="F8" s="109">
        <f t="shared" si="0"/>
        <v>0.36210995589547967</v>
      </c>
    </row>
    <row r="9" spans="1:6" ht="15" customHeight="1" x14ac:dyDescent="0.35">
      <c r="A9" s="105" t="s">
        <v>3</v>
      </c>
      <c r="B9" s="106">
        <v>136004.89000000001</v>
      </c>
      <c r="C9" s="107">
        <v>127758.97</v>
      </c>
      <c r="D9" s="106">
        <v>49117.23</v>
      </c>
      <c r="E9" s="108">
        <f t="shared" si="0"/>
        <v>-6.0629584715667262E-2</v>
      </c>
      <c r="F9" s="109">
        <f t="shared" si="0"/>
        <v>-0.61554769892086636</v>
      </c>
    </row>
    <row r="10" spans="1:6" ht="15" customHeight="1" x14ac:dyDescent="0.35">
      <c r="A10" s="110" t="s">
        <v>5</v>
      </c>
      <c r="B10" s="111">
        <v>165985.42000000001</v>
      </c>
      <c r="C10" s="112">
        <v>185271.95</v>
      </c>
      <c r="D10" s="111">
        <v>312558.81</v>
      </c>
      <c r="E10" s="113">
        <f t="shared" si="0"/>
        <v>0.11619412114630312</v>
      </c>
      <c r="F10" s="114">
        <f t="shared" si="0"/>
        <v>0.68702715116886282</v>
      </c>
    </row>
    <row r="11" spans="1:6" s="3" customFormat="1" ht="15" customHeight="1" x14ac:dyDescent="0.35">
      <c r="A11" s="64" t="s">
        <v>62</v>
      </c>
      <c r="B11" s="67">
        <f>SUM(B6:B10)</f>
        <v>10568632.58</v>
      </c>
      <c r="C11" s="70">
        <f t="shared" ref="C11:D11" si="1">SUM(C6:C10)</f>
        <v>11082726.92</v>
      </c>
      <c r="D11" s="67">
        <f t="shared" si="1"/>
        <v>11934558.970000001</v>
      </c>
      <c r="E11" s="73">
        <f t="shared" si="0"/>
        <v>4.864341116114379E-2</v>
      </c>
      <c r="F11" s="38">
        <f t="shared" si="0"/>
        <v>7.6861232451985728E-2</v>
      </c>
    </row>
    <row r="12" spans="1:6" ht="15" customHeight="1" x14ac:dyDescent="0.35">
      <c r="A12" s="115" t="s">
        <v>29</v>
      </c>
      <c r="B12" s="116">
        <v>7103070.2000000002</v>
      </c>
      <c r="C12" s="117">
        <v>8138471</v>
      </c>
      <c r="D12" s="116">
        <v>8248504</v>
      </c>
      <c r="E12" s="118">
        <f t="shared" si="0"/>
        <v>0.14576806519524466</v>
      </c>
      <c r="F12" s="119">
        <f t="shared" si="0"/>
        <v>1.3520107155262862E-2</v>
      </c>
    </row>
    <row r="13" spans="1:6" ht="15" customHeight="1" x14ac:dyDescent="0.35">
      <c r="A13" s="105" t="s">
        <v>60</v>
      </c>
      <c r="B13" s="106">
        <v>311198.03000000003</v>
      </c>
      <c r="C13" s="107">
        <v>315916.96999999997</v>
      </c>
      <c r="D13" s="106">
        <v>327862.34999999998</v>
      </c>
      <c r="E13" s="108">
        <f t="shared" si="0"/>
        <v>1.5163784937841429E-2</v>
      </c>
      <c r="F13" s="109">
        <f t="shared" si="0"/>
        <v>3.7811770605422179E-2</v>
      </c>
    </row>
    <row r="14" spans="1:6" ht="15" customHeight="1" x14ac:dyDescent="0.35">
      <c r="A14" s="110" t="s">
        <v>61</v>
      </c>
      <c r="B14" s="111">
        <v>140270.88999999996</v>
      </c>
      <c r="C14" s="112">
        <v>117631.89999999975</v>
      </c>
      <c r="D14" s="111">
        <v>86066.509999999587</v>
      </c>
      <c r="E14" s="113">
        <f t="shared" si="0"/>
        <v>-0.16139478404963581</v>
      </c>
      <c r="F14" s="114">
        <f t="shared" si="0"/>
        <v>-0.26834039065933835</v>
      </c>
    </row>
    <row r="15" spans="1:6" s="3" customFormat="1" ht="15" customHeight="1" x14ac:dyDescent="0.35">
      <c r="A15" s="64" t="s">
        <v>63</v>
      </c>
      <c r="B15" s="67">
        <f>SUM(B12:B14)</f>
        <v>7554539.1200000001</v>
      </c>
      <c r="C15" s="70">
        <f t="shared" ref="C15:D15" si="2">SUM(C12:C14)</f>
        <v>8572019.870000001</v>
      </c>
      <c r="D15" s="67">
        <f t="shared" si="2"/>
        <v>8662432.8599999994</v>
      </c>
      <c r="E15" s="73">
        <f t="shared" si="0"/>
        <v>0.13468468874643946</v>
      </c>
      <c r="F15" s="38">
        <f t="shared" si="0"/>
        <v>1.0547454552272129E-2</v>
      </c>
    </row>
    <row r="16" spans="1:6" s="11" customFormat="1" ht="15" customHeight="1" x14ac:dyDescent="0.35">
      <c r="A16" s="120" t="s">
        <v>74</v>
      </c>
      <c r="B16" s="121">
        <v>1856607.55</v>
      </c>
      <c r="C16" s="122">
        <v>1960924.28</v>
      </c>
      <c r="D16" s="121">
        <v>1959590.94</v>
      </c>
      <c r="E16" s="123">
        <f t="shared" si="0"/>
        <v>5.6186742319344729E-2</v>
      </c>
      <c r="F16" s="124">
        <f t="shared" si="0"/>
        <v>-6.7995486291805296E-4</v>
      </c>
    </row>
    <row r="17" spans="1:6" s="11" customFormat="1" ht="15" customHeight="1" x14ac:dyDescent="0.35">
      <c r="A17" s="125" t="s">
        <v>71</v>
      </c>
      <c r="B17" s="126">
        <v>23000</v>
      </c>
      <c r="C17" s="127">
        <v>0</v>
      </c>
      <c r="D17" s="126">
        <v>288337</v>
      </c>
      <c r="E17" s="128">
        <f t="shared" si="0"/>
        <v>-1</v>
      </c>
      <c r="F17" s="129" t="e">
        <f t="shared" si="0"/>
        <v>#DIV/0!</v>
      </c>
    </row>
    <row r="18" spans="1:6" s="11" customFormat="1" ht="15" customHeight="1" x14ac:dyDescent="0.35">
      <c r="A18" s="125" t="s">
        <v>72</v>
      </c>
      <c r="B18" s="126">
        <v>0</v>
      </c>
      <c r="C18" s="127">
        <v>9835.33</v>
      </c>
      <c r="D18" s="126">
        <v>40515.4</v>
      </c>
      <c r="E18" s="128" t="e">
        <f t="shared" si="0"/>
        <v>#DIV/0!</v>
      </c>
      <c r="F18" s="129">
        <f t="shared" si="0"/>
        <v>3.1193737271652298</v>
      </c>
    </row>
    <row r="19" spans="1:6" s="11" customFormat="1" ht="15" customHeight="1" x14ac:dyDescent="0.35">
      <c r="A19" s="130" t="s">
        <v>73</v>
      </c>
      <c r="B19" s="131">
        <v>76075.520000000004</v>
      </c>
      <c r="C19" s="132">
        <v>79225.34</v>
      </c>
      <c r="D19" s="131">
        <v>88236.25</v>
      </c>
      <c r="E19" s="133">
        <f t="shared" si="0"/>
        <v>4.140385764040766E-2</v>
      </c>
      <c r="F19" s="134">
        <f t="shared" si="0"/>
        <v>0.11373772583367892</v>
      </c>
    </row>
    <row r="20" spans="1:6" ht="15" customHeight="1" x14ac:dyDescent="0.35">
      <c r="A20" s="65" t="s">
        <v>84</v>
      </c>
      <c r="B20" s="68">
        <f>SUM(B16:B19)</f>
        <v>1955683.07</v>
      </c>
      <c r="C20" s="71">
        <f t="shared" ref="C20:D20" si="3">SUM(C16:C19)</f>
        <v>2049984.9500000002</v>
      </c>
      <c r="D20" s="68">
        <f t="shared" si="3"/>
        <v>2376679.59</v>
      </c>
      <c r="E20" s="74">
        <f t="shared" si="0"/>
        <v>4.8219408065950153E-2</v>
      </c>
      <c r="F20" s="32">
        <f t="shared" si="0"/>
        <v>0.15936440899236826</v>
      </c>
    </row>
    <row r="21" spans="1:6" ht="15" customHeight="1" thickBot="1" x14ac:dyDescent="0.4">
      <c r="A21" s="75" t="s">
        <v>64</v>
      </c>
      <c r="B21" s="76">
        <v>182.94</v>
      </c>
      <c r="C21" s="77"/>
      <c r="D21" s="76"/>
      <c r="E21" s="78">
        <f t="shared" si="0"/>
        <v>-1</v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20079037.710000001</v>
      </c>
      <c r="C22" s="87">
        <f>C11+C15+C20+C21</f>
        <v>21704731.739999998</v>
      </c>
      <c r="D22" s="86">
        <f>D11+D15+D20+D21</f>
        <v>22973671.419999998</v>
      </c>
      <c r="E22" s="88">
        <f t="shared" si="0"/>
        <v>8.0964738125390845E-2</v>
      </c>
      <c r="F22" s="89">
        <f t="shared" si="0"/>
        <v>5.8463734783759103E-2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5802910.1100000003</v>
      </c>
      <c r="C24" s="155">
        <v>6163598.6200000001</v>
      </c>
      <c r="D24" s="155">
        <v>6433959.3099999996</v>
      </c>
      <c r="E24" s="156">
        <f t="shared" si="0"/>
        <v>6.2156487548968631E-2</v>
      </c>
      <c r="F24" s="104">
        <f t="shared" si="0"/>
        <v>4.3864097367196653E-2</v>
      </c>
    </row>
    <row r="25" spans="1:6" ht="15" customHeight="1" x14ac:dyDescent="0.35">
      <c r="A25" s="157" t="s">
        <v>40</v>
      </c>
      <c r="B25" s="158">
        <v>2875962.3899999997</v>
      </c>
      <c r="C25" s="158">
        <v>3013605.55</v>
      </c>
      <c r="D25" s="158">
        <v>3105034.05</v>
      </c>
      <c r="E25" s="159">
        <f t="shared" si="0"/>
        <v>4.7859860921199315E-2</v>
      </c>
      <c r="F25" s="109">
        <f t="shared" si="0"/>
        <v>3.0338575663958478E-2</v>
      </c>
    </row>
    <row r="26" spans="1:6" ht="15" customHeight="1" x14ac:dyDescent="0.35">
      <c r="A26" s="160" t="s">
        <v>41</v>
      </c>
      <c r="B26" s="161">
        <v>143577.16</v>
      </c>
      <c r="C26" s="161">
        <v>117977.83999999998</v>
      </c>
      <c r="D26" s="161">
        <v>122444.46000000002</v>
      </c>
      <c r="E26" s="162">
        <f t="shared" si="0"/>
        <v>-0.17829660372165057</v>
      </c>
      <c r="F26" s="114">
        <f t="shared" si="0"/>
        <v>3.7859821810604766E-2</v>
      </c>
    </row>
    <row r="27" spans="1:6" ht="15" customHeight="1" x14ac:dyDescent="0.35">
      <c r="A27" s="31" t="s">
        <v>65</v>
      </c>
      <c r="B27" s="23">
        <f>B24+B25+B26</f>
        <v>8822449.6600000001</v>
      </c>
      <c r="C27" s="23">
        <f t="shared" ref="C27:D27" si="4">C24+C25+C26</f>
        <v>9295182.0099999998</v>
      </c>
      <c r="D27" s="23">
        <f t="shared" si="4"/>
        <v>9661437.8200000003</v>
      </c>
      <c r="E27" s="24">
        <f t="shared" si="0"/>
        <v>5.3582890038275321E-2</v>
      </c>
      <c r="F27" s="32">
        <f t="shared" si="0"/>
        <v>3.9402758289829309E-2</v>
      </c>
    </row>
    <row r="28" spans="1:6" ht="15" customHeight="1" x14ac:dyDescent="0.35">
      <c r="A28" s="33" t="s">
        <v>66</v>
      </c>
      <c r="B28" s="23">
        <v>1624187.34</v>
      </c>
      <c r="C28" s="23">
        <v>1840205.46</v>
      </c>
      <c r="D28" s="23">
        <v>1826654.8800000001</v>
      </c>
      <c r="E28" s="24">
        <f t="shared" si="0"/>
        <v>0.13300074115834448</v>
      </c>
      <c r="F28" s="32">
        <f t="shared" si="0"/>
        <v>-7.3636234075731277E-3</v>
      </c>
    </row>
    <row r="29" spans="1:6" s="6" customFormat="1" ht="15" customHeight="1" x14ac:dyDescent="0.35">
      <c r="A29" s="182" t="s">
        <v>26</v>
      </c>
      <c r="B29" s="183">
        <v>1487040.44</v>
      </c>
      <c r="C29" s="183">
        <v>1729564.02</v>
      </c>
      <c r="D29" s="183">
        <v>1809072.85</v>
      </c>
      <c r="E29" s="184">
        <f t="shared" si="0"/>
        <v>0.16309144894539651</v>
      </c>
      <c r="F29" s="185">
        <f t="shared" si="0"/>
        <v>4.5970446355608097E-2</v>
      </c>
    </row>
    <row r="30" spans="1:6" s="163" customFormat="1" ht="15" customHeight="1" x14ac:dyDescent="0.35">
      <c r="A30" s="171" t="s">
        <v>76</v>
      </c>
      <c r="B30" s="172">
        <f>SUM(B31:B36)</f>
        <v>2104869.98</v>
      </c>
      <c r="C30" s="172">
        <f t="shared" ref="C30:D30" si="5">SUM(C31:C36)</f>
        <v>2378470.0499999993</v>
      </c>
      <c r="D30" s="172">
        <f t="shared" si="5"/>
        <v>2292021.7799999998</v>
      </c>
      <c r="E30" s="169">
        <f t="shared" si="0"/>
        <v>0.12998430905456648</v>
      </c>
      <c r="F30" s="170">
        <f t="shared" si="0"/>
        <v>-3.6346167150601572E-2</v>
      </c>
    </row>
    <row r="31" spans="1:6" s="9" customFormat="1" ht="15" customHeight="1" x14ac:dyDescent="0.35">
      <c r="A31" s="165" t="s">
        <v>21</v>
      </c>
      <c r="B31" s="166">
        <v>756149.4</v>
      </c>
      <c r="C31" s="166">
        <v>1017750.7</v>
      </c>
      <c r="D31" s="166">
        <v>1000910.36</v>
      </c>
      <c r="E31" s="167">
        <f t="shared" si="0"/>
        <v>0.34596509631562222</v>
      </c>
      <c r="F31" s="168">
        <f t="shared" si="0"/>
        <v>-1.6546625809247706E-2</v>
      </c>
    </row>
    <row r="32" spans="1:6" s="9" customFormat="1" ht="15" customHeight="1" x14ac:dyDescent="0.35">
      <c r="A32" s="165" t="s">
        <v>22</v>
      </c>
      <c r="B32" s="166">
        <v>18893.53</v>
      </c>
      <c r="C32" s="166">
        <v>19413.240000000002</v>
      </c>
      <c r="D32" s="166">
        <v>21550.02</v>
      </c>
      <c r="E32" s="167">
        <f t="shared" si="0"/>
        <v>2.7507300118083E-2</v>
      </c>
      <c r="F32" s="168">
        <f t="shared" si="0"/>
        <v>0.11006818027284471</v>
      </c>
    </row>
    <row r="33" spans="1:6" s="9" customFormat="1" ht="15" customHeight="1" x14ac:dyDescent="0.35">
      <c r="A33" s="165" t="s">
        <v>23</v>
      </c>
      <c r="B33" s="166">
        <v>476743.07</v>
      </c>
      <c r="C33" s="166">
        <v>651122.69999999995</v>
      </c>
      <c r="D33" s="166">
        <v>655742.93999999994</v>
      </c>
      <c r="E33" s="167">
        <f t="shared" si="0"/>
        <v>0.36577276309438522</v>
      </c>
      <c r="F33" s="168">
        <f t="shared" si="0"/>
        <v>7.0958054449645758E-3</v>
      </c>
    </row>
    <row r="34" spans="1:6" s="9" customFormat="1" ht="15" customHeight="1" x14ac:dyDescent="0.35">
      <c r="A34" s="165" t="s">
        <v>24</v>
      </c>
      <c r="B34" s="166">
        <v>404268.73</v>
      </c>
      <c r="C34" s="166">
        <v>317502.62</v>
      </c>
      <c r="D34" s="166">
        <v>280178.44</v>
      </c>
      <c r="E34" s="167">
        <f t="shared" si="0"/>
        <v>-0.21462483630628559</v>
      </c>
      <c r="F34" s="168">
        <f t="shared" si="0"/>
        <v>-0.11755550237664181</v>
      </c>
    </row>
    <row r="35" spans="1:6" s="9" customFormat="1" ht="15" customHeight="1" x14ac:dyDescent="0.35">
      <c r="A35" s="165" t="s">
        <v>25</v>
      </c>
      <c r="B35" s="166">
        <v>448815.25</v>
      </c>
      <c r="C35" s="166">
        <v>372398.76</v>
      </c>
      <c r="D35" s="166">
        <v>333640.02</v>
      </c>
      <c r="E35" s="167">
        <f t="shared" si="0"/>
        <v>-0.17026268603840888</v>
      </c>
      <c r="F35" s="168">
        <f t="shared" si="0"/>
        <v>-0.10407859575042622</v>
      </c>
    </row>
    <row r="36" spans="1:6" s="9" customFormat="1" ht="15" customHeight="1" x14ac:dyDescent="0.35">
      <c r="A36" s="165" t="s">
        <v>32</v>
      </c>
      <c r="B36" s="166"/>
      <c r="C36" s="166">
        <v>282.02999999999997</v>
      </c>
      <c r="D36" s="166"/>
      <c r="E36" s="167" t="str">
        <f t="shared" si="0"/>
        <v/>
      </c>
      <c r="F36" s="168">
        <f t="shared" si="0"/>
        <v>-1</v>
      </c>
    </row>
    <row r="37" spans="1:6" s="10" customFormat="1" ht="15" customHeight="1" x14ac:dyDescent="0.35">
      <c r="A37" s="171" t="s">
        <v>77</v>
      </c>
      <c r="B37" s="172">
        <v>2744253.04</v>
      </c>
      <c r="C37" s="172">
        <v>2931250.2600000007</v>
      </c>
      <c r="D37" s="172">
        <v>3120450.0500000003</v>
      </c>
      <c r="E37" s="169">
        <f t="shared" si="0"/>
        <v>6.8141391218063729E-2</v>
      </c>
      <c r="F37" s="170">
        <f t="shared" si="0"/>
        <v>6.4545764850524767E-2</v>
      </c>
    </row>
    <row r="38" spans="1:6" s="7" customFormat="1" ht="15" customHeight="1" x14ac:dyDescent="0.35">
      <c r="A38" s="173" t="s">
        <v>70</v>
      </c>
      <c r="B38" s="174">
        <v>2544615.8199999998</v>
      </c>
      <c r="C38" s="174">
        <v>2663779.58</v>
      </c>
      <c r="D38" s="174">
        <v>2804294</v>
      </c>
      <c r="E38" s="169">
        <f t="shared" si="0"/>
        <v>4.6829764659719997E-2</v>
      </c>
      <c r="F38" s="170">
        <f t="shared" si="0"/>
        <v>5.2750017702290597E-2</v>
      </c>
    </row>
    <row r="39" spans="1:6" s="10" customFormat="1" ht="15" customHeight="1" x14ac:dyDescent="0.35">
      <c r="A39" s="171" t="s">
        <v>78</v>
      </c>
      <c r="B39" s="172">
        <v>884812.47</v>
      </c>
      <c r="C39" s="172">
        <v>888555.99999999988</v>
      </c>
      <c r="D39" s="172">
        <v>1312930.1800000002</v>
      </c>
      <c r="E39" s="169">
        <f t="shared" si="0"/>
        <v>4.2308739161416309E-3</v>
      </c>
      <c r="F39" s="170">
        <f t="shared" si="0"/>
        <v>0.47759981363020487</v>
      </c>
    </row>
    <row r="40" spans="1:6" s="10" customFormat="1" ht="15" customHeight="1" x14ac:dyDescent="0.35">
      <c r="A40" s="175" t="s">
        <v>79</v>
      </c>
      <c r="B40" s="176">
        <v>918672.52999999886</v>
      </c>
      <c r="C40" s="176">
        <v>1123056.6399999992</v>
      </c>
      <c r="D40" s="176">
        <v>1301843.48</v>
      </c>
      <c r="E40" s="177">
        <f t="shared" si="0"/>
        <v>0.22247765479610093</v>
      </c>
      <c r="F40" s="178">
        <f t="shared" si="0"/>
        <v>0.1591966367787121</v>
      </c>
    </row>
    <row r="41" spans="1:6" ht="15" customHeight="1" x14ac:dyDescent="0.35">
      <c r="A41" s="31" t="s">
        <v>75</v>
      </c>
      <c r="B41" s="23">
        <f>+B30+B37+B39+B40</f>
        <v>6652608.0199999977</v>
      </c>
      <c r="C41" s="23">
        <f>+C30+C37+C39+C40</f>
        <v>7321332.9499999993</v>
      </c>
      <c r="D41" s="23">
        <f>+D30+D37+D39+D40</f>
        <v>8027245.4900000002</v>
      </c>
      <c r="E41" s="24">
        <f t="shared" si="0"/>
        <v>0.10052071728705303</v>
      </c>
      <c r="F41" s="32">
        <f t="shared" si="0"/>
        <v>9.6418581810297388E-2</v>
      </c>
    </row>
    <row r="42" spans="1:6" ht="15" customHeight="1" x14ac:dyDescent="0.35">
      <c r="A42" s="33" t="s">
        <v>67</v>
      </c>
      <c r="B42" s="23">
        <v>515425.88999999996</v>
      </c>
      <c r="C42" s="23">
        <v>470152.45000000007</v>
      </c>
      <c r="D42" s="23">
        <v>560428.87</v>
      </c>
      <c r="E42" s="24">
        <f t="shared" si="0"/>
        <v>-8.7836953630714754E-2</v>
      </c>
      <c r="F42" s="32">
        <f t="shared" si="0"/>
        <v>0.19201520698233066</v>
      </c>
    </row>
    <row r="43" spans="1:6" ht="15" customHeight="1" x14ac:dyDescent="0.35">
      <c r="A43" s="33" t="s">
        <v>68</v>
      </c>
      <c r="B43" s="23">
        <v>10909.04</v>
      </c>
      <c r="C43" s="23">
        <v>151709.09</v>
      </c>
      <c r="D43" s="23">
        <v>153489.84</v>
      </c>
      <c r="E43" s="24">
        <f t="shared" si="0"/>
        <v>12.906731481413578</v>
      </c>
      <c r="F43" s="32">
        <f t="shared" si="0"/>
        <v>1.1737925525754589E-2</v>
      </c>
    </row>
    <row r="44" spans="1:6" ht="15" customHeight="1" x14ac:dyDescent="0.35">
      <c r="A44" s="33" t="s">
        <v>69</v>
      </c>
      <c r="B44" s="23"/>
      <c r="C44" s="23">
        <v>20663.54</v>
      </c>
      <c r="D44" s="23">
        <v>40289.58</v>
      </c>
      <c r="E44" s="24" t="str">
        <f t="shared" si="0"/>
        <v/>
      </c>
      <c r="F44" s="32">
        <f t="shared" si="0"/>
        <v>0.94979079092933727</v>
      </c>
    </row>
    <row r="45" spans="1:6" ht="15" customHeight="1" x14ac:dyDescent="0.35">
      <c r="A45" s="186" t="s">
        <v>80</v>
      </c>
      <c r="B45" s="187">
        <v>2243606.91</v>
      </c>
      <c r="C45" s="187">
        <v>2358242.86</v>
      </c>
      <c r="D45" s="187">
        <v>2406021.15</v>
      </c>
      <c r="E45" s="188">
        <f t="shared" si="0"/>
        <v>5.109448963143004E-2</v>
      </c>
      <c r="F45" s="189">
        <f t="shared" si="0"/>
        <v>2.02601228272139E-2</v>
      </c>
    </row>
    <row r="46" spans="1:6" ht="15" customHeight="1" x14ac:dyDescent="0.35">
      <c r="A46" s="171" t="s">
        <v>81</v>
      </c>
      <c r="B46" s="190">
        <v>136377</v>
      </c>
      <c r="C46" s="190">
        <v>245109</v>
      </c>
      <c r="D46" s="190">
        <v>235402</v>
      </c>
      <c r="E46" s="191">
        <f t="shared" si="0"/>
        <v>0.79728986559317194</v>
      </c>
      <c r="F46" s="192">
        <f t="shared" si="0"/>
        <v>-3.9602788963277513E-2</v>
      </c>
    </row>
    <row r="47" spans="1:6" ht="15" customHeight="1" x14ac:dyDescent="0.35">
      <c r="A47" s="175" t="s">
        <v>82</v>
      </c>
      <c r="B47" s="193">
        <v>61516.27</v>
      </c>
      <c r="C47" s="193"/>
      <c r="D47" s="193"/>
      <c r="E47" s="194">
        <f t="shared" si="0"/>
        <v>-1</v>
      </c>
      <c r="F47" s="195" t="str">
        <f t="shared" si="0"/>
        <v/>
      </c>
    </row>
    <row r="48" spans="1:6" ht="15" customHeight="1" thickBot="1" x14ac:dyDescent="0.4">
      <c r="A48" s="90" t="s">
        <v>83</v>
      </c>
      <c r="B48" s="91">
        <v>2441500.1800000002</v>
      </c>
      <c r="C48" s="91">
        <v>2603351.86</v>
      </c>
      <c r="D48" s="91">
        <v>2641423.15</v>
      </c>
      <c r="E48" s="92">
        <f t="shared" si="0"/>
        <v>6.6291897631561847E-2</v>
      </c>
      <c r="F48" s="79">
        <f t="shared" si="0"/>
        <v>1.462395098601843E-2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20067080.129999995</v>
      </c>
      <c r="C49" s="97">
        <f>C27+C28+C41+C42+C43+C44+C48</f>
        <v>21702597.359999996</v>
      </c>
      <c r="D49" s="97">
        <f>D27+D28+D41+D42+D43+D44+D48</f>
        <v>22910969.629999999</v>
      </c>
      <c r="E49" s="98">
        <f t="shared" si="0"/>
        <v>8.1502501579934661E-2</v>
      </c>
      <c r="F49" s="99">
        <f t="shared" si="0"/>
        <v>5.5678693658444356E-2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10568632.58</v>
      </c>
      <c r="C51" s="58">
        <f>+C11</f>
        <v>11082726.92</v>
      </c>
      <c r="D51" s="44">
        <f>+D11</f>
        <v>11934558.970000001</v>
      </c>
      <c r="E51" s="59">
        <f t="shared" si="0"/>
        <v>4.864341116114379E-2</v>
      </c>
      <c r="F51" s="28">
        <f t="shared" si="0"/>
        <v>7.6861232451985728E-2</v>
      </c>
    </row>
    <row r="52" spans="1:7" ht="15" customHeight="1" x14ac:dyDescent="0.35">
      <c r="A52" s="40" t="s">
        <v>9</v>
      </c>
      <c r="B52" s="45">
        <f>+B28</f>
        <v>1624187.34</v>
      </c>
      <c r="C52" s="49">
        <f>+C28</f>
        <v>1840205.46</v>
      </c>
      <c r="D52" s="45">
        <f>+D28</f>
        <v>1826654.8800000001</v>
      </c>
      <c r="E52" s="53">
        <f t="shared" si="0"/>
        <v>0.13300074115834448</v>
      </c>
      <c r="F52" s="30">
        <f t="shared" si="0"/>
        <v>-7.3636234075731277E-3</v>
      </c>
    </row>
    <row r="53" spans="1:7" ht="15" customHeight="1" x14ac:dyDescent="0.35">
      <c r="A53" s="40" t="s">
        <v>10</v>
      </c>
      <c r="B53" s="45">
        <f>+B41</f>
        <v>6652608.0199999977</v>
      </c>
      <c r="C53" s="49">
        <f>+C41</f>
        <v>7321332.9499999993</v>
      </c>
      <c r="D53" s="45">
        <f>+D41</f>
        <v>8027245.4900000002</v>
      </c>
      <c r="E53" s="53">
        <f t="shared" si="0"/>
        <v>0.10052071728705303</v>
      </c>
      <c r="F53" s="30">
        <f t="shared" si="0"/>
        <v>9.6418581810297388E-2</v>
      </c>
    </row>
    <row r="54" spans="1:7" s="3" customFormat="1" ht="15" customHeight="1" x14ac:dyDescent="0.35">
      <c r="A54" s="41" t="s">
        <v>11</v>
      </c>
      <c r="B54" s="46">
        <f>B51-B52-B53</f>
        <v>2291837.2200000025</v>
      </c>
      <c r="C54" s="50">
        <f t="shared" ref="C54:D54" si="6">C51-C52-C53</f>
        <v>1921188.5100000016</v>
      </c>
      <c r="D54" s="46">
        <f t="shared" si="6"/>
        <v>2080658.5999999996</v>
      </c>
      <c r="E54" s="54">
        <f t="shared" si="0"/>
        <v>-0.16172558276193827</v>
      </c>
      <c r="F54" s="34">
        <f t="shared" si="0"/>
        <v>8.3005956557588245E-2</v>
      </c>
      <c r="G54" s="4"/>
    </row>
    <row r="55" spans="1:7" ht="15" customHeight="1" x14ac:dyDescent="0.35">
      <c r="A55" s="40" t="s">
        <v>12</v>
      </c>
      <c r="B55" s="45">
        <f>B15</f>
        <v>7554539.1200000001</v>
      </c>
      <c r="C55" s="49">
        <f>C15</f>
        <v>8572019.870000001</v>
      </c>
      <c r="D55" s="45">
        <f>D15</f>
        <v>8662432.8599999994</v>
      </c>
      <c r="E55" s="53">
        <f t="shared" si="0"/>
        <v>0.13468468874643946</v>
      </c>
      <c r="F55" s="30">
        <f t="shared" si="0"/>
        <v>1.0547454552272129E-2</v>
      </c>
    </row>
    <row r="56" spans="1:7" ht="15" customHeight="1" x14ac:dyDescent="0.35">
      <c r="A56" s="40" t="s">
        <v>13</v>
      </c>
      <c r="B56" s="45">
        <f>B27</f>
        <v>8822449.6600000001</v>
      </c>
      <c r="C56" s="49">
        <f>C27</f>
        <v>9295182.0099999998</v>
      </c>
      <c r="D56" s="45">
        <f>D27</f>
        <v>9661437.8200000003</v>
      </c>
      <c r="E56" s="53">
        <f t="shared" si="0"/>
        <v>5.3582890038275321E-2</v>
      </c>
      <c r="F56" s="30">
        <f t="shared" si="0"/>
        <v>3.9402758289829309E-2</v>
      </c>
    </row>
    <row r="57" spans="1:7" ht="15" customHeight="1" x14ac:dyDescent="0.35">
      <c r="A57" s="40" t="s">
        <v>14</v>
      </c>
      <c r="B57" s="45">
        <f>B42+B43</f>
        <v>526334.92999999993</v>
      </c>
      <c r="C57" s="49">
        <f t="shared" ref="C57:D57" si="7">C42+C43</f>
        <v>621861.54</v>
      </c>
      <c r="D57" s="45">
        <f t="shared" si="7"/>
        <v>713918.71</v>
      </c>
      <c r="E57" s="53">
        <f t="shared" si="0"/>
        <v>0.18149395860920747</v>
      </c>
      <c r="F57" s="30">
        <f t="shared" si="0"/>
        <v>0.14803483424943753</v>
      </c>
    </row>
    <row r="58" spans="1:7" s="3" customFormat="1" ht="15" customHeight="1" x14ac:dyDescent="0.35">
      <c r="A58" s="42" t="s">
        <v>15</v>
      </c>
      <c r="B58" s="47">
        <f>+B54+B55-B56-B57</f>
        <v>497591.75000000349</v>
      </c>
      <c r="C58" s="51">
        <f>+C54+C55-C56-C57</f>
        <v>576164.83000000287</v>
      </c>
      <c r="D58" s="47">
        <f t="shared" ref="D58" si="8">+D54+D55-D56-D57</f>
        <v>367734.92999999877</v>
      </c>
      <c r="E58" s="55">
        <f t="shared" si="0"/>
        <v>0.15790671770582776</v>
      </c>
      <c r="F58" s="35">
        <f t="shared" si="0"/>
        <v>-0.36175394461338961</v>
      </c>
      <c r="G58" s="4"/>
    </row>
    <row r="59" spans="1:7" ht="15" customHeight="1" x14ac:dyDescent="0.35">
      <c r="A59" s="40" t="s">
        <v>16</v>
      </c>
      <c r="B59" s="45">
        <f t="shared" ref="B59:D60" si="9">B20</f>
        <v>1955683.07</v>
      </c>
      <c r="C59" s="49">
        <f t="shared" si="9"/>
        <v>2049984.9500000002</v>
      </c>
      <c r="D59" s="45">
        <f t="shared" si="9"/>
        <v>2376679.59</v>
      </c>
      <c r="E59" s="53">
        <f t="shared" si="0"/>
        <v>4.8219408065950153E-2</v>
      </c>
      <c r="F59" s="30">
        <f t="shared" si="0"/>
        <v>0.15936440899236826</v>
      </c>
    </row>
    <row r="60" spans="1:7" ht="15" customHeight="1" x14ac:dyDescent="0.35">
      <c r="A60" s="40" t="s">
        <v>17</v>
      </c>
      <c r="B60" s="45">
        <f t="shared" si="9"/>
        <v>182.94</v>
      </c>
      <c r="C60" s="49">
        <f t="shared" si="9"/>
        <v>0</v>
      </c>
      <c r="D60" s="45">
        <f t="shared" si="9"/>
        <v>0</v>
      </c>
      <c r="E60" s="53">
        <f t="shared" si="0"/>
        <v>-1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2441500.1800000002</v>
      </c>
      <c r="C61" s="49">
        <f t="shared" ref="C61:D61" si="10">C48</f>
        <v>2603351.86</v>
      </c>
      <c r="D61" s="45">
        <f t="shared" si="10"/>
        <v>2641423.15</v>
      </c>
      <c r="E61" s="53">
        <f t="shared" si="0"/>
        <v>6.6291897631561847E-2</v>
      </c>
      <c r="F61" s="30">
        <f t="shared" si="0"/>
        <v>1.462395098601843E-2</v>
      </c>
    </row>
    <row r="62" spans="1:7" ht="15" customHeight="1" x14ac:dyDescent="0.35">
      <c r="A62" s="40" t="s">
        <v>19</v>
      </c>
      <c r="B62" s="45">
        <f>B44</f>
        <v>0</v>
      </c>
      <c r="C62" s="49">
        <f t="shared" ref="C62:D62" si="11">C44</f>
        <v>20663.54</v>
      </c>
      <c r="D62" s="45">
        <f t="shared" si="11"/>
        <v>40289.58</v>
      </c>
      <c r="E62" s="53" t="e">
        <f t="shared" si="0"/>
        <v>#DIV/0!</v>
      </c>
      <c r="F62" s="30">
        <f t="shared" si="0"/>
        <v>0.94979079092933727</v>
      </c>
    </row>
    <row r="63" spans="1:7" s="3" customFormat="1" ht="15" customHeight="1" thickBot="1" x14ac:dyDescent="0.4">
      <c r="A63" s="43" t="s">
        <v>20</v>
      </c>
      <c r="B63" s="48">
        <f>B58+B59+B60-B61-B62</f>
        <v>11957.580000003334</v>
      </c>
      <c r="C63" s="52">
        <f t="shared" ref="C63:D63" si="12">C58+C59+C60-C61-C62</f>
        <v>2134.3800000031843</v>
      </c>
      <c r="D63" s="48">
        <f t="shared" si="12"/>
        <v>62701.789999998713</v>
      </c>
      <c r="E63" s="56">
        <f t="shared" si="0"/>
        <v>-0.82150401669881457</v>
      </c>
      <c r="F63" s="36">
        <f t="shared" si="0"/>
        <v>28.377050946834757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2243606.91</v>
      </c>
      <c r="C65" s="26">
        <f t="shared" ref="C65:D65" si="13">C45</f>
        <v>2358242.86</v>
      </c>
      <c r="D65" s="26">
        <f t="shared" si="13"/>
        <v>2406021.15</v>
      </c>
      <c r="E65" s="27">
        <f t="shared" ref="E65:E66" si="14">+IF(ISBLANK(B65),"",+C65/B65-1)</f>
        <v>5.109448963143004E-2</v>
      </c>
      <c r="F65" s="28">
        <f t="shared" ref="F65:F66" si="15">+IF(ISBLANK(C65),"",+D65/C65-1)</f>
        <v>2.02601228272139E-2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1856607.55</v>
      </c>
      <c r="C66" s="19">
        <f t="shared" si="16"/>
        <v>1960924.28</v>
      </c>
      <c r="D66" s="19">
        <f t="shared" si="16"/>
        <v>1959590.94</v>
      </c>
      <c r="E66" s="20">
        <f t="shared" si="14"/>
        <v>5.6186742319344729E-2</v>
      </c>
      <c r="F66" s="30">
        <f t="shared" si="15"/>
        <v>-6.7995486291805296E-4</v>
      </c>
    </row>
    <row r="67" spans="1:6" ht="15" customHeight="1" thickBot="1" x14ac:dyDescent="0.4">
      <c r="A67" s="207" t="s">
        <v>85</v>
      </c>
      <c r="B67" s="208">
        <f>B65-B66</f>
        <v>386999.3600000001</v>
      </c>
      <c r="C67" s="208">
        <f t="shared" ref="C67:D67" si="17">C65-C66</f>
        <v>397318.57999999984</v>
      </c>
      <c r="D67" s="208">
        <f t="shared" si="17"/>
        <v>446430.20999999996</v>
      </c>
      <c r="E67" s="209">
        <f>+IF(ISBLANK(B67),"",+C67/B67-1)</f>
        <v>2.6664695259443594E-2</v>
      </c>
      <c r="F67" s="210">
        <f>+IF(ISBLANK(C67),"",+D67/C67-1)</f>
        <v>0.12360768529878507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9B2B1-5F00-43F2-BDF2-DD543FA68634}">
  <sheetPr>
    <tabColor theme="5" tint="0.79998168889431442"/>
    <pageSetUpPr fitToPage="1"/>
  </sheetPr>
  <dimension ref="A1:G72"/>
  <sheetViews>
    <sheetView topLeftCell="A11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56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23090772.190000001</v>
      </c>
      <c r="C6" s="102">
        <v>23805212.440000001</v>
      </c>
      <c r="D6" s="101">
        <v>25594117.109999999</v>
      </c>
      <c r="E6" s="103">
        <f>+IF(ISBLANK(B6),"",+C6/B6-1)</f>
        <v>3.0940509226859314E-2</v>
      </c>
      <c r="F6" s="104">
        <f>+IF(ISBLANK(C6),"",+D6/C6-1)</f>
        <v>7.5147603681708475E-2</v>
      </c>
    </row>
    <row r="7" spans="1:6" ht="15" customHeight="1" x14ac:dyDescent="0.35">
      <c r="A7" s="105" t="s">
        <v>2</v>
      </c>
      <c r="B7" s="106">
        <v>9330718.9600000009</v>
      </c>
      <c r="C7" s="107">
        <v>9345273.2699999996</v>
      </c>
      <c r="D7" s="106">
        <v>10634702.73</v>
      </c>
      <c r="E7" s="108">
        <f t="shared" ref="E7:F63" si="0">+IF(ISBLANK(B7),"",+C7/B7-1)</f>
        <v>1.5598272825911863E-3</v>
      </c>
      <c r="F7" s="109">
        <f t="shared" si="0"/>
        <v>0.13797664581294811</v>
      </c>
    </row>
    <row r="8" spans="1:6" ht="15" customHeight="1" x14ac:dyDescent="0.35">
      <c r="A8" s="105" t="s">
        <v>4</v>
      </c>
      <c r="B8" s="106">
        <v>52581.24</v>
      </c>
      <c r="C8" s="107">
        <v>58010.18</v>
      </c>
      <c r="D8" s="106">
        <v>86077.89</v>
      </c>
      <c r="E8" s="108">
        <f t="shared" si="0"/>
        <v>0.10324861110160199</v>
      </c>
      <c r="F8" s="109">
        <f t="shared" si="0"/>
        <v>0.48384111202550995</v>
      </c>
    </row>
    <row r="9" spans="1:6" ht="15" customHeight="1" x14ac:dyDescent="0.35">
      <c r="A9" s="105" t="s">
        <v>3</v>
      </c>
      <c r="B9" s="106">
        <v>930193.73</v>
      </c>
      <c r="C9" s="107">
        <v>734945.41</v>
      </c>
      <c r="D9" s="106">
        <v>365538.38</v>
      </c>
      <c r="E9" s="108">
        <f t="shared" si="0"/>
        <v>-0.20990070530791471</v>
      </c>
      <c r="F9" s="109">
        <f t="shared" si="0"/>
        <v>-0.50263193017288188</v>
      </c>
    </row>
    <row r="10" spans="1:6" ht="15" customHeight="1" x14ac:dyDescent="0.35">
      <c r="A10" s="110" t="s">
        <v>5</v>
      </c>
      <c r="B10" s="111">
        <v>172147.84</v>
      </c>
      <c r="C10" s="112">
        <v>422578.16000000102</v>
      </c>
      <c r="D10" s="111">
        <v>849567.90999999596</v>
      </c>
      <c r="E10" s="113">
        <f t="shared" si="0"/>
        <v>1.4547398329250081</v>
      </c>
      <c r="F10" s="114">
        <f t="shared" si="0"/>
        <v>1.0104397018530107</v>
      </c>
    </row>
    <row r="11" spans="1:6" s="3" customFormat="1" ht="15" customHeight="1" x14ac:dyDescent="0.35">
      <c r="A11" s="64" t="s">
        <v>62</v>
      </c>
      <c r="B11" s="67">
        <f>SUM(B6:B10)</f>
        <v>33576413.960000001</v>
      </c>
      <c r="C11" s="70">
        <f t="shared" ref="C11:D11" si="1">SUM(C6:C10)</f>
        <v>34366019.460000001</v>
      </c>
      <c r="D11" s="67">
        <f t="shared" si="1"/>
        <v>37530004.020000003</v>
      </c>
      <c r="E11" s="73">
        <f t="shared" si="0"/>
        <v>2.3516671582041626E-2</v>
      </c>
      <c r="F11" s="38">
        <f t="shared" si="0"/>
        <v>9.2067239957269287E-2</v>
      </c>
    </row>
    <row r="12" spans="1:6" ht="15" customHeight="1" x14ac:dyDescent="0.35">
      <c r="A12" s="115" t="s">
        <v>29</v>
      </c>
      <c r="B12" s="116">
        <v>25581797</v>
      </c>
      <c r="C12" s="117">
        <v>30073240</v>
      </c>
      <c r="D12" s="116">
        <v>27079296</v>
      </c>
      <c r="E12" s="118">
        <f t="shared" si="0"/>
        <v>0.17557183336260551</v>
      </c>
      <c r="F12" s="119">
        <f t="shared" si="0"/>
        <v>-9.9555086182932073E-2</v>
      </c>
    </row>
    <row r="13" spans="1:6" ht="15" customHeight="1" x14ac:dyDescent="0.35">
      <c r="A13" s="105" t="s">
        <v>60</v>
      </c>
      <c r="B13" s="106">
        <v>1072675.19</v>
      </c>
      <c r="C13" s="107">
        <v>1171975.97</v>
      </c>
      <c r="D13" s="106">
        <v>1190818.3700000001</v>
      </c>
      <c r="E13" s="108">
        <f t="shared" si="0"/>
        <v>9.2573018305755816E-2</v>
      </c>
      <c r="F13" s="109">
        <f t="shared" si="0"/>
        <v>1.6077462748660398E-2</v>
      </c>
    </row>
    <row r="14" spans="1:6" ht="15" customHeight="1" x14ac:dyDescent="0.35">
      <c r="A14" s="110" t="s">
        <v>61</v>
      </c>
      <c r="B14" s="111">
        <v>741108.79000000178</v>
      </c>
      <c r="C14" s="112">
        <v>1830193.4599999983</v>
      </c>
      <c r="D14" s="111">
        <v>1279696.0899999987</v>
      </c>
      <c r="E14" s="113">
        <f t="shared" si="0"/>
        <v>1.4695341422141195</v>
      </c>
      <c r="F14" s="114">
        <f t="shared" si="0"/>
        <v>-0.30078643707971731</v>
      </c>
    </row>
    <row r="15" spans="1:6" s="3" customFormat="1" ht="15" customHeight="1" x14ac:dyDescent="0.35">
      <c r="A15" s="64" t="s">
        <v>63</v>
      </c>
      <c r="B15" s="67">
        <f>SUM(B12:B14)</f>
        <v>27395580.980000004</v>
      </c>
      <c r="C15" s="70">
        <f t="shared" ref="C15:D15" si="2">SUM(C12:C14)</f>
        <v>33075409.429999996</v>
      </c>
      <c r="D15" s="67">
        <f t="shared" si="2"/>
        <v>29549810.460000001</v>
      </c>
      <c r="E15" s="73">
        <f t="shared" si="0"/>
        <v>0.20732644633988673</v>
      </c>
      <c r="F15" s="38">
        <f t="shared" si="0"/>
        <v>-0.10659275367283017</v>
      </c>
    </row>
    <row r="16" spans="1:6" s="11" customFormat="1" ht="15" customHeight="1" x14ac:dyDescent="0.35">
      <c r="A16" s="120" t="s">
        <v>74</v>
      </c>
      <c r="B16" s="121">
        <v>5874409.5800000001</v>
      </c>
      <c r="C16" s="122">
        <v>6487427.6799999997</v>
      </c>
      <c r="D16" s="121">
        <v>6983402.21</v>
      </c>
      <c r="E16" s="123">
        <f t="shared" si="0"/>
        <v>0.10435399364849873</v>
      </c>
      <c r="F16" s="124">
        <f t="shared" si="0"/>
        <v>7.6451646856739996E-2</v>
      </c>
    </row>
    <row r="17" spans="1:6" s="11" customFormat="1" ht="15" customHeight="1" x14ac:dyDescent="0.35">
      <c r="A17" s="125" t="s">
        <v>71</v>
      </c>
      <c r="B17" s="126">
        <v>101636.82</v>
      </c>
      <c r="C17" s="127">
        <v>78651.41</v>
      </c>
      <c r="D17" s="126">
        <v>2710992.74</v>
      </c>
      <c r="E17" s="128">
        <f t="shared" si="0"/>
        <v>-0.22615239241054574</v>
      </c>
      <c r="F17" s="129">
        <f t="shared" si="0"/>
        <v>33.468456954554284</v>
      </c>
    </row>
    <row r="18" spans="1:6" s="11" customFormat="1" ht="15" customHeight="1" x14ac:dyDescent="0.35">
      <c r="A18" s="125" t="s">
        <v>72</v>
      </c>
      <c r="B18" s="126">
        <v>37129</v>
      </c>
      <c r="C18" s="127">
        <v>44184</v>
      </c>
      <c r="D18" s="126">
        <v>56085.53</v>
      </c>
      <c r="E18" s="128">
        <f t="shared" si="0"/>
        <v>0.19001319723127486</v>
      </c>
      <c r="F18" s="129">
        <f t="shared" si="0"/>
        <v>0.26936289154445037</v>
      </c>
    </row>
    <row r="19" spans="1:6" s="11" customFormat="1" ht="15" customHeight="1" x14ac:dyDescent="0.35">
      <c r="A19" s="130" t="s">
        <v>73</v>
      </c>
      <c r="B19" s="131">
        <v>291261.38</v>
      </c>
      <c r="C19" s="132">
        <v>278749.78999999998</v>
      </c>
      <c r="D19" s="131">
        <v>292639.59999999998</v>
      </c>
      <c r="E19" s="133">
        <f t="shared" si="0"/>
        <v>-4.2956570486619383E-2</v>
      </c>
      <c r="F19" s="134">
        <f t="shared" si="0"/>
        <v>4.9828952337506616E-2</v>
      </c>
    </row>
    <row r="20" spans="1:6" ht="15" customHeight="1" x14ac:dyDescent="0.35">
      <c r="A20" s="65" t="s">
        <v>84</v>
      </c>
      <c r="B20" s="68">
        <f>SUM(B16:B19)</f>
        <v>6304436.7800000003</v>
      </c>
      <c r="C20" s="71">
        <f t="shared" ref="C20:D20" si="3">SUM(C16:C19)</f>
        <v>6889012.8799999999</v>
      </c>
      <c r="D20" s="68">
        <f t="shared" si="3"/>
        <v>10043120.079999998</v>
      </c>
      <c r="E20" s="74">
        <f t="shared" si="0"/>
        <v>9.2724555800843378E-2</v>
      </c>
      <c r="F20" s="32">
        <f t="shared" si="0"/>
        <v>0.45784603032996474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67276431.719999999</v>
      </c>
      <c r="C22" s="87">
        <f>C11+C15+C20+C21</f>
        <v>74330441.769999996</v>
      </c>
      <c r="D22" s="86">
        <f>D11+D15+D20+D21</f>
        <v>77122934.560000002</v>
      </c>
      <c r="E22" s="88">
        <f t="shared" si="0"/>
        <v>0.10485113240485644</v>
      </c>
      <c r="F22" s="89">
        <f t="shared" si="0"/>
        <v>3.7568628996458742E-2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20070781.940000001</v>
      </c>
      <c r="C24" s="155">
        <v>21840769.810000002</v>
      </c>
      <c r="D24" s="155">
        <v>22934529.800000001</v>
      </c>
      <c r="E24" s="156">
        <f t="shared" si="0"/>
        <v>8.8187290126076734E-2</v>
      </c>
      <c r="F24" s="104">
        <f t="shared" si="0"/>
        <v>5.0078820458938633E-2</v>
      </c>
    </row>
    <row r="25" spans="1:6" ht="15" customHeight="1" x14ac:dyDescent="0.35">
      <c r="A25" s="157" t="s">
        <v>40</v>
      </c>
      <c r="B25" s="158">
        <v>9826573.9900000002</v>
      </c>
      <c r="C25" s="158">
        <v>10239013.859999999</v>
      </c>
      <c r="D25" s="158">
        <v>10557234.609999999</v>
      </c>
      <c r="E25" s="159">
        <f t="shared" si="0"/>
        <v>4.1971888719274597E-2</v>
      </c>
      <c r="F25" s="109">
        <f t="shared" si="0"/>
        <v>3.1079238132802001E-2</v>
      </c>
    </row>
    <row r="26" spans="1:6" ht="15" customHeight="1" x14ac:dyDescent="0.35">
      <c r="A26" s="160" t="s">
        <v>41</v>
      </c>
      <c r="B26" s="161">
        <v>655623.03</v>
      </c>
      <c r="C26" s="161">
        <v>557129.68000000005</v>
      </c>
      <c r="D26" s="161">
        <v>641420.89</v>
      </c>
      <c r="E26" s="162">
        <f t="shared" si="0"/>
        <v>-0.15022863062025138</v>
      </c>
      <c r="F26" s="114">
        <f t="shared" si="0"/>
        <v>0.15129549371701034</v>
      </c>
    </row>
    <row r="27" spans="1:6" ht="15" customHeight="1" x14ac:dyDescent="0.35">
      <c r="A27" s="31" t="s">
        <v>65</v>
      </c>
      <c r="B27" s="23">
        <f>B24+B25+B26</f>
        <v>30552978.960000001</v>
      </c>
      <c r="C27" s="23">
        <f t="shared" ref="C27:D27" si="4">C24+C25+C26</f>
        <v>32636913.350000001</v>
      </c>
      <c r="D27" s="23">
        <f t="shared" si="4"/>
        <v>34133185.299999997</v>
      </c>
      <c r="E27" s="24">
        <f t="shared" si="0"/>
        <v>6.8207240699124316E-2</v>
      </c>
      <c r="F27" s="32">
        <f t="shared" si="0"/>
        <v>4.5846000629835792E-2</v>
      </c>
    </row>
    <row r="28" spans="1:6" ht="15" customHeight="1" x14ac:dyDescent="0.35">
      <c r="A28" s="33" t="s">
        <v>66</v>
      </c>
      <c r="B28" s="23">
        <v>6671044.29</v>
      </c>
      <c r="C28" s="23">
        <v>7529637.9399999995</v>
      </c>
      <c r="D28" s="23">
        <v>7524472.4999999991</v>
      </c>
      <c r="E28" s="24">
        <f t="shared" si="0"/>
        <v>0.12870453450399744</v>
      </c>
      <c r="F28" s="32">
        <f t="shared" si="0"/>
        <v>-6.8601439287807597E-4</v>
      </c>
    </row>
    <row r="29" spans="1:6" s="6" customFormat="1" ht="15" customHeight="1" x14ac:dyDescent="0.35">
      <c r="A29" s="182" t="s">
        <v>26</v>
      </c>
      <c r="B29" s="183">
        <v>6035164.3799999999</v>
      </c>
      <c r="C29" s="183">
        <v>6730826.0899999999</v>
      </c>
      <c r="D29" s="183">
        <v>7026930.8399999999</v>
      </c>
      <c r="E29" s="184">
        <f t="shared" si="0"/>
        <v>0.11526806333649531</v>
      </c>
      <c r="F29" s="185">
        <f t="shared" si="0"/>
        <v>4.3992334082130435E-2</v>
      </c>
    </row>
    <row r="30" spans="1:6" s="163" customFormat="1" ht="15" customHeight="1" x14ac:dyDescent="0.35">
      <c r="A30" s="171" t="s">
        <v>76</v>
      </c>
      <c r="B30" s="172">
        <f>SUM(B31:B36)</f>
        <v>5310109.95</v>
      </c>
      <c r="C30" s="172">
        <f t="shared" ref="C30:D30" si="5">SUM(C31:C36)</f>
        <v>8508368.1099999994</v>
      </c>
      <c r="D30" s="172">
        <f t="shared" si="5"/>
        <v>7014064.21</v>
      </c>
      <c r="E30" s="169">
        <f t="shared" si="0"/>
        <v>0.60229603343712301</v>
      </c>
      <c r="F30" s="170">
        <f t="shared" si="0"/>
        <v>-0.1756275563869556</v>
      </c>
    </row>
    <row r="31" spans="1:6" s="9" customFormat="1" ht="15" customHeight="1" x14ac:dyDescent="0.35">
      <c r="A31" s="165" t="s">
        <v>21</v>
      </c>
      <c r="B31" s="166">
        <v>2483684.9700000002</v>
      </c>
      <c r="C31" s="166">
        <v>4844371.8099999996</v>
      </c>
      <c r="D31" s="166">
        <v>3683099.52</v>
      </c>
      <c r="E31" s="167">
        <f t="shared" si="0"/>
        <v>0.95047756398831829</v>
      </c>
      <c r="F31" s="168">
        <f t="shared" si="0"/>
        <v>-0.23971576409615014</v>
      </c>
    </row>
    <row r="32" spans="1:6" s="9" customFormat="1" ht="15" customHeight="1" x14ac:dyDescent="0.35">
      <c r="A32" s="165" t="s">
        <v>22</v>
      </c>
      <c r="B32" s="166">
        <v>43549.39</v>
      </c>
      <c r="C32" s="166">
        <v>48301.1</v>
      </c>
      <c r="D32" s="166">
        <v>64024.34</v>
      </c>
      <c r="E32" s="167">
        <f t="shared" si="0"/>
        <v>0.10911082795878424</v>
      </c>
      <c r="F32" s="168">
        <f t="shared" si="0"/>
        <v>0.32552550563030658</v>
      </c>
    </row>
    <row r="33" spans="1:6" s="9" customFormat="1" ht="15" customHeight="1" x14ac:dyDescent="0.35">
      <c r="A33" s="165" t="s">
        <v>23</v>
      </c>
      <c r="B33" s="166">
        <v>534058.9</v>
      </c>
      <c r="C33" s="166">
        <v>1326536.83</v>
      </c>
      <c r="D33" s="166">
        <v>750187.08</v>
      </c>
      <c r="E33" s="167">
        <f t="shared" si="0"/>
        <v>1.4838773962946785</v>
      </c>
      <c r="F33" s="168">
        <f t="shared" si="0"/>
        <v>-0.43447700581370219</v>
      </c>
    </row>
    <row r="34" spans="1:6" s="9" customFormat="1" ht="15" customHeight="1" x14ac:dyDescent="0.35">
      <c r="A34" s="165" t="s">
        <v>24</v>
      </c>
      <c r="B34" s="166">
        <v>1193322.74</v>
      </c>
      <c r="C34" s="166">
        <v>1198573.2</v>
      </c>
      <c r="D34" s="166">
        <v>1372929.23</v>
      </c>
      <c r="E34" s="167">
        <f t="shared" si="0"/>
        <v>4.3998658736696949E-3</v>
      </c>
      <c r="F34" s="168">
        <f t="shared" si="0"/>
        <v>0.14546965508656462</v>
      </c>
    </row>
    <row r="35" spans="1:6" s="9" customFormat="1" ht="15" customHeight="1" x14ac:dyDescent="0.35">
      <c r="A35" s="165" t="s">
        <v>25</v>
      </c>
      <c r="B35" s="166">
        <v>1055493.95</v>
      </c>
      <c r="C35" s="166">
        <v>1090585.17</v>
      </c>
      <c r="D35" s="166">
        <v>1143824.04</v>
      </c>
      <c r="E35" s="167">
        <f t="shared" si="0"/>
        <v>3.3246254040584455E-2</v>
      </c>
      <c r="F35" s="168">
        <f t="shared" si="0"/>
        <v>4.8816792548169508E-2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6711136.4900000002</v>
      </c>
      <c r="C37" s="172">
        <v>6932179.2000000002</v>
      </c>
      <c r="D37" s="172">
        <v>7894675.7699999996</v>
      </c>
      <c r="E37" s="169">
        <f t="shared" si="0"/>
        <v>3.2936703094828657E-2</v>
      </c>
      <c r="F37" s="170">
        <f t="shared" si="0"/>
        <v>0.13884473298093614</v>
      </c>
    </row>
    <row r="38" spans="1:6" s="7" customFormat="1" ht="15" customHeight="1" x14ac:dyDescent="0.35">
      <c r="A38" s="173" t="s">
        <v>70</v>
      </c>
      <c r="B38" s="174">
        <v>5996445.4300000006</v>
      </c>
      <c r="C38" s="174">
        <v>6189610.5199999996</v>
      </c>
      <c r="D38" s="174">
        <v>6487179.1099999994</v>
      </c>
      <c r="E38" s="169">
        <f t="shared" si="0"/>
        <v>3.2213265717986994E-2</v>
      </c>
      <c r="F38" s="170">
        <f t="shared" si="0"/>
        <v>4.8075495063621521E-2</v>
      </c>
    </row>
    <row r="39" spans="1:6" s="10" customFormat="1" ht="15" customHeight="1" x14ac:dyDescent="0.35">
      <c r="A39" s="171" t="s">
        <v>78</v>
      </c>
      <c r="B39" s="172">
        <v>3213851.34</v>
      </c>
      <c r="C39" s="172">
        <v>2323365.8199999998</v>
      </c>
      <c r="D39" s="172">
        <v>2402264.2999999998</v>
      </c>
      <c r="E39" s="169">
        <f t="shared" si="0"/>
        <v>-0.27707738342371491</v>
      </c>
      <c r="F39" s="170">
        <f t="shared" si="0"/>
        <v>3.3958698764019912E-2</v>
      </c>
    </row>
    <row r="40" spans="1:6" s="10" customFormat="1" ht="15" customHeight="1" x14ac:dyDescent="0.35">
      <c r="A40" s="175" t="s">
        <v>79</v>
      </c>
      <c r="B40" s="176">
        <v>2990809.5399999991</v>
      </c>
      <c r="C40" s="176">
        <v>4324091.2899999972</v>
      </c>
      <c r="D40" s="176">
        <v>5538966.1500000013</v>
      </c>
      <c r="E40" s="177">
        <f t="shared" si="0"/>
        <v>0.44579293069929116</v>
      </c>
      <c r="F40" s="178">
        <f t="shared" si="0"/>
        <v>0.28095495180907815</v>
      </c>
    </row>
    <row r="41" spans="1:6" ht="15" customHeight="1" x14ac:dyDescent="0.35">
      <c r="A41" s="31" t="s">
        <v>75</v>
      </c>
      <c r="B41" s="23">
        <f>+B30+B37+B39+B40</f>
        <v>18225907.32</v>
      </c>
      <c r="C41" s="23">
        <f>+C30+C37+C39+C40</f>
        <v>22088004.419999994</v>
      </c>
      <c r="D41" s="23">
        <f>+D30+D37+D39+D40</f>
        <v>22849970.430000003</v>
      </c>
      <c r="E41" s="24">
        <f t="shared" si="0"/>
        <v>0.21190150000170171</v>
      </c>
      <c r="F41" s="32">
        <f t="shared" si="0"/>
        <v>3.4496824408006388E-2</v>
      </c>
    </row>
    <row r="42" spans="1:6" ht="15" customHeight="1" x14ac:dyDescent="0.35">
      <c r="A42" s="33" t="s">
        <v>67</v>
      </c>
      <c r="B42" s="23">
        <v>1799471.0400000003</v>
      </c>
      <c r="C42" s="23">
        <v>1940264.8599999999</v>
      </c>
      <c r="D42" s="23">
        <v>2403098.2200000002</v>
      </c>
      <c r="E42" s="24">
        <f t="shared" si="0"/>
        <v>7.8241781540423938E-2</v>
      </c>
      <c r="F42" s="32">
        <f t="shared" si="0"/>
        <v>0.23854132986771726</v>
      </c>
    </row>
    <row r="43" spans="1:6" ht="15" customHeight="1" x14ac:dyDescent="0.35">
      <c r="A43" s="33" t="s">
        <v>68</v>
      </c>
      <c r="B43" s="23">
        <v>1000371.03</v>
      </c>
      <c r="C43" s="23">
        <v>678266.17</v>
      </c>
      <c r="D43" s="23">
        <v>502655.46</v>
      </c>
      <c r="E43" s="24">
        <f t="shared" si="0"/>
        <v>-0.32198539375935342</v>
      </c>
      <c r="F43" s="32">
        <f t="shared" si="0"/>
        <v>-0.25891120295738768</v>
      </c>
    </row>
    <row r="44" spans="1:6" ht="15" customHeight="1" x14ac:dyDescent="0.35">
      <c r="A44" s="33" t="s">
        <v>69</v>
      </c>
      <c r="B44" s="23">
        <v>111891.52</v>
      </c>
      <c r="C44" s="23">
        <v>273050.71000000002</v>
      </c>
      <c r="D44" s="23">
        <v>301038.8</v>
      </c>
      <c r="E44" s="24">
        <f t="shared" si="0"/>
        <v>1.4403163885878039</v>
      </c>
      <c r="F44" s="32">
        <f t="shared" si="0"/>
        <v>0.10250143645478871</v>
      </c>
    </row>
    <row r="45" spans="1:6" ht="15" customHeight="1" x14ac:dyDescent="0.35">
      <c r="A45" s="186" t="s">
        <v>80</v>
      </c>
      <c r="B45" s="187">
        <v>7221238.71</v>
      </c>
      <c r="C45" s="187">
        <v>7959355.6699999999</v>
      </c>
      <c r="D45" s="187">
        <v>8837207.3300000001</v>
      </c>
      <c r="E45" s="188">
        <f t="shared" si="0"/>
        <v>0.1022147293064628</v>
      </c>
      <c r="F45" s="189">
        <f t="shared" si="0"/>
        <v>0.1102917995370849</v>
      </c>
    </row>
    <row r="46" spans="1:6" ht="15" customHeight="1" x14ac:dyDescent="0.35">
      <c r="A46" s="171" t="s">
        <v>81</v>
      </c>
      <c r="B46" s="190">
        <v>861251</v>
      </c>
      <c r="C46" s="190">
        <v>943804.21</v>
      </c>
      <c r="D46" s="190">
        <v>2748829.49</v>
      </c>
      <c r="E46" s="191">
        <f t="shared" si="0"/>
        <v>9.5852672449727061E-2</v>
      </c>
      <c r="F46" s="192">
        <f t="shared" si="0"/>
        <v>1.9124997122019622</v>
      </c>
    </row>
    <row r="47" spans="1:6" ht="15" customHeight="1" x14ac:dyDescent="0.35">
      <c r="A47" s="175" t="s">
        <v>82</v>
      </c>
      <c r="B47" s="193">
        <v>44184</v>
      </c>
      <c r="C47" s="193">
        <v>56085.53</v>
      </c>
      <c r="D47" s="193">
        <v>358730.02</v>
      </c>
      <c r="E47" s="194">
        <f t="shared" si="0"/>
        <v>0.26936289154445037</v>
      </c>
      <c r="F47" s="195">
        <f t="shared" si="0"/>
        <v>5.39612427661823</v>
      </c>
    </row>
    <row r="48" spans="1:6" ht="15" customHeight="1" thickBot="1" x14ac:dyDescent="0.4">
      <c r="A48" s="90" t="s">
        <v>83</v>
      </c>
      <c r="B48" s="91">
        <v>8126673.71</v>
      </c>
      <c r="C48" s="91">
        <v>8959245.4100000001</v>
      </c>
      <c r="D48" s="91">
        <v>11944766.84</v>
      </c>
      <c r="E48" s="92">
        <f t="shared" si="0"/>
        <v>0.10244925903392765</v>
      </c>
      <c r="F48" s="79">
        <f t="shared" si="0"/>
        <v>0.33323358088479904</v>
      </c>
    </row>
    <row r="49" spans="1:7" s="3" customFormat="1" ht="15" customHeight="1" thickBot="1" x14ac:dyDescent="0.4">
      <c r="A49" s="96" t="s">
        <v>28</v>
      </c>
      <c r="B49" s="97">
        <f>B27+B28+B41+B42+B43+B44+B48</f>
        <v>66488337.870000005</v>
      </c>
      <c r="C49" s="97">
        <f>C27+C28+C41+C42+C43+C44+C48</f>
        <v>74105382.859999999</v>
      </c>
      <c r="D49" s="97">
        <f>D27+D28+D41+D42+D43+D44+D48</f>
        <v>79659187.549999997</v>
      </c>
      <c r="E49" s="98">
        <f t="shared" si="0"/>
        <v>0.11456212072699223</v>
      </c>
      <c r="F49" s="99">
        <f t="shared" si="0"/>
        <v>7.494468654850972E-2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33576413.960000001</v>
      </c>
      <c r="C51" s="58">
        <f>+C11</f>
        <v>34366019.460000001</v>
      </c>
      <c r="D51" s="44">
        <f>+D11</f>
        <v>37530004.020000003</v>
      </c>
      <c r="E51" s="59">
        <f t="shared" si="0"/>
        <v>2.3516671582041626E-2</v>
      </c>
      <c r="F51" s="28">
        <f t="shared" si="0"/>
        <v>9.2067239957269287E-2</v>
      </c>
    </row>
    <row r="52" spans="1:7" ht="15" customHeight="1" x14ac:dyDescent="0.35">
      <c r="A52" s="40" t="s">
        <v>9</v>
      </c>
      <c r="B52" s="45">
        <f>+B28</f>
        <v>6671044.29</v>
      </c>
      <c r="C52" s="49">
        <f>+C28</f>
        <v>7529637.9399999995</v>
      </c>
      <c r="D52" s="45">
        <f>+D28</f>
        <v>7524472.4999999991</v>
      </c>
      <c r="E52" s="53">
        <f t="shared" si="0"/>
        <v>0.12870453450399744</v>
      </c>
      <c r="F52" s="30">
        <f t="shared" si="0"/>
        <v>-6.8601439287807597E-4</v>
      </c>
    </row>
    <row r="53" spans="1:7" ht="15" customHeight="1" x14ac:dyDescent="0.35">
      <c r="A53" s="40" t="s">
        <v>10</v>
      </c>
      <c r="B53" s="45">
        <f>+B41</f>
        <v>18225907.32</v>
      </c>
      <c r="C53" s="49">
        <f>+C41</f>
        <v>22088004.419999994</v>
      </c>
      <c r="D53" s="45">
        <f>+D41</f>
        <v>22849970.430000003</v>
      </c>
      <c r="E53" s="53">
        <f t="shared" si="0"/>
        <v>0.21190150000170171</v>
      </c>
      <c r="F53" s="30">
        <f t="shared" si="0"/>
        <v>3.4496824408006388E-2</v>
      </c>
    </row>
    <row r="54" spans="1:7" s="3" customFormat="1" ht="15" customHeight="1" x14ac:dyDescent="0.35">
      <c r="A54" s="41" t="s">
        <v>11</v>
      </c>
      <c r="B54" s="46">
        <f>B51-B52-B53</f>
        <v>8679462.3500000015</v>
      </c>
      <c r="C54" s="50">
        <f t="shared" ref="C54:D54" si="6">C51-C52-C53</f>
        <v>4748377.1000000089</v>
      </c>
      <c r="D54" s="46">
        <f t="shared" si="6"/>
        <v>7155561.0899999999</v>
      </c>
      <c r="E54" s="54">
        <f t="shared" si="0"/>
        <v>-0.45291806006854696</v>
      </c>
      <c r="F54" s="34">
        <f t="shared" si="0"/>
        <v>0.50694878256404419</v>
      </c>
      <c r="G54" s="4"/>
    </row>
    <row r="55" spans="1:7" ht="15" customHeight="1" x14ac:dyDescent="0.35">
      <c r="A55" s="40" t="s">
        <v>12</v>
      </c>
      <c r="B55" s="45">
        <f>B15</f>
        <v>27395580.980000004</v>
      </c>
      <c r="C55" s="49">
        <f>C15</f>
        <v>33075409.429999996</v>
      </c>
      <c r="D55" s="45">
        <f>D15</f>
        <v>29549810.460000001</v>
      </c>
      <c r="E55" s="53">
        <f t="shared" si="0"/>
        <v>0.20732644633988673</v>
      </c>
      <c r="F55" s="30">
        <f t="shared" si="0"/>
        <v>-0.10659275367283017</v>
      </c>
    </row>
    <row r="56" spans="1:7" ht="15" customHeight="1" x14ac:dyDescent="0.35">
      <c r="A56" s="40" t="s">
        <v>13</v>
      </c>
      <c r="B56" s="45">
        <f>B27</f>
        <v>30552978.960000001</v>
      </c>
      <c r="C56" s="49">
        <f>C27</f>
        <v>32636913.350000001</v>
      </c>
      <c r="D56" s="45">
        <f>D27</f>
        <v>34133185.299999997</v>
      </c>
      <c r="E56" s="53">
        <f t="shared" si="0"/>
        <v>6.8207240699124316E-2</v>
      </c>
      <c r="F56" s="30">
        <f t="shared" si="0"/>
        <v>4.5846000629835792E-2</v>
      </c>
    </row>
    <row r="57" spans="1:7" ht="15" customHeight="1" x14ac:dyDescent="0.35">
      <c r="A57" s="40" t="s">
        <v>14</v>
      </c>
      <c r="B57" s="45">
        <f>B42+B43</f>
        <v>2799842.0700000003</v>
      </c>
      <c r="C57" s="49">
        <f t="shared" ref="C57:D57" si="7">C42+C43</f>
        <v>2618531.0299999998</v>
      </c>
      <c r="D57" s="45">
        <f t="shared" si="7"/>
        <v>2905753.68</v>
      </c>
      <c r="E57" s="53">
        <f t="shared" si="0"/>
        <v>-6.4757595416801705E-2</v>
      </c>
      <c r="F57" s="30">
        <f t="shared" si="0"/>
        <v>0.10968846529193144</v>
      </c>
    </row>
    <row r="58" spans="1:7" s="3" customFormat="1" ht="15" customHeight="1" x14ac:dyDescent="0.35">
      <c r="A58" s="42" t="s">
        <v>15</v>
      </c>
      <c r="B58" s="47">
        <f>+B54+B55-B56-B57</f>
        <v>2722222.3000000045</v>
      </c>
      <c r="C58" s="51">
        <f>+C54+C55-C56-C57</f>
        <v>2568342.15</v>
      </c>
      <c r="D58" s="47">
        <f t="shared" ref="D58" si="8">+D54+D55-D56-D57</f>
        <v>-333567.43000000017</v>
      </c>
      <c r="E58" s="55">
        <f t="shared" si="0"/>
        <v>-5.652740042574933E-2</v>
      </c>
      <c r="F58" s="35">
        <f t="shared" si="0"/>
        <v>-1.1298765548040397</v>
      </c>
      <c r="G58" s="4"/>
    </row>
    <row r="59" spans="1:7" ht="15" customHeight="1" x14ac:dyDescent="0.35">
      <c r="A59" s="40" t="s">
        <v>16</v>
      </c>
      <c r="B59" s="45">
        <f t="shared" ref="B59:D60" si="9">B20</f>
        <v>6304436.7800000003</v>
      </c>
      <c r="C59" s="49">
        <f t="shared" si="9"/>
        <v>6889012.8799999999</v>
      </c>
      <c r="D59" s="45">
        <f t="shared" si="9"/>
        <v>10043120.079999998</v>
      </c>
      <c r="E59" s="53">
        <f t="shared" si="0"/>
        <v>9.2724555800843378E-2</v>
      </c>
      <c r="F59" s="30">
        <f t="shared" si="0"/>
        <v>0.45784603032996474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8126673.71</v>
      </c>
      <c r="C61" s="49">
        <f t="shared" ref="C61:D61" si="10">C48</f>
        <v>8959245.4100000001</v>
      </c>
      <c r="D61" s="45">
        <f t="shared" si="10"/>
        <v>11944766.84</v>
      </c>
      <c r="E61" s="53">
        <f t="shared" si="0"/>
        <v>0.10244925903392765</v>
      </c>
      <c r="F61" s="30">
        <f t="shared" si="0"/>
        <v>0.33323358088479904</v>
      </c>
    </row>
    <row r="62" spans="1:7" ht="15" customHeight="1" x14ac:dyDescent="0.35">
      <c r="A62" s="40" t="s">
        <v>19</v>
      </c>
      <c r="B62" s="45">
        <f>B44</f>
        <v>111891.52</v>
      </c>
      <c r="C62" s="49">
        <f t="shared" ref="C62:D62" si="11">C44</f>
        <v>273050.71000000002</v>
      </c>
      <c r="D62" s="45">
        <f t="shared" si="11"/>
        <v>301038.8</v>
      </c>
      <c r="E62" s="53">
        <f t="shared" si="0"/>
        <v>1.4403163885878039</v>
      </c>
      <c r="F62" s="30">
        <f t="shared" si="0"/>
        <v>0.10250143645478871</v>
      </c>
    </row>
    <row r="63" spans="1:7" s="3" customFormat="1" ht="15" customHeight="1" thickBot="1" x14ac:dyDescent="0.4">
      <c r="A63" s="43" t="s">
        <v>20</v>
      </c>
      <c r="B63" s="48">
        <f>B58+B59+B60-B61-B62</f>
        <v>788093.85000000568</v>
      </c>
      <c r="C63" s="52">
        <f t="shared" ref="C63:D63" si="12">C58+C59+C60-C61-C62</f>
        <v>225058.90999999916</v>
      </c>
      <c r="D63" s="48">
        <f t="shared" si="12"/>
        <v>-2536252.9900000012</v>
      </c>
      <c r="E63" s="56">
        <f t="shared" si="0"/>
        <v>-0.71442625773567769</v>
      </c>
      <c r="F63" s="36">
        <f t="shared" si="0"/>
        <v>-12.269284961879583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7221238.71</v>
      </c>
      <c r="C65" s="26">
        <f t="shared" ref="C65:D65" si="13">C45</f>
        <v>7959355.6699999999</v>
      </c>
      <c r="D65" s="26">
        <f t="shared" si="13"/>
        <v>8837207.3300000001</v>
      </c>
      <c r="E65" s="27">
        <f t="shared" ref="E65:E66" si="14">+IF(ISBLANK(B65),"",+C65/B65-1)</f>
        <v>0.1022147293064628</v>
      </c>
      <c r="F65" s="28">
        <f t="shared" ref="F65:F66" si="15">+IF(ISBLANK(C65),"",+D65/C65-1)</f>
        <v>0.1102917995370849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5874409.5800000001</v>
      </c>
      <c r="C66" s="19">
        <f t="shared" si="16"/>
        <v>6487427.6799999997</v>
      </c>
      <c r="D66" s="19">
        <f t="shared" si="16"/>
        <v>6983402.21</v>
      </c>
      <c r="E66" s="20">
        <f t="shared" si="14"/>
        <v>0.10435399364849873</v>
      </c>
      <c r="F66" s="30">
        <f t="shared" si="15"/>
        <v>7.6451646856739996E-2</v>
      </c>
    </row>
    <row r="67" spans="1:6" ht="15" customHeight="1" thickBot="1" x14ac:dyDescent="0.4">
      <c r="A67" s="207" t="s">
        <v>85</v>
      </c>
      <c r="B67" s="208">
        <f>B65-B66</f>
        <v>1346829.13</v>
      </c>
      <c r="C67" s="208">
        <f t="shared" ref="C67:D67" si="17">C65-C66</f>
        <v>1471927.9900000002</v>
      </c>
      <c r="D67" s="208">
        <f t="shared" si="17"/>
        <v>1853805.12</v>
      </c>
      <c r="E67" s="209">
        <f>+IF(ISBLANK(B67),"",+C67/B67-1)</f>
        <v>9.2883987443901139E-2</v>
      </c>
      <c r="F67" s="210">
        <f>+IF(ISBLANK(C67),"",+D67/C67-1)</f>
        <v>0.25944008986472222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8E62A-379F-47D4-AB6E-7E52520A4BD0}">
  <sheetPr>
    <tabColor theme="5" tint="0.79998168889431442"/>
    <pageSetUpPr fitToPage="1"/>
  </sheetPr>
  <dimension ref="A1:G72"/>
  <sheetViews>
    <sheetView topLeftCell="A9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57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16364014.220000001</v>
      </c>
      <c r="C6" s="102">
        <v>18187674.550000001</v>
      </c>
      <c r="D6" s="101">
        <v>19822330.609999999</v>
      </c>
      <c r="E6" s="103">
        <f>+IF(ISBLANK(B6),"",+C6/B6-1)</f>
        <v>0.1114433356927258</v>
      </c>
      <c r="F6" s="104">
        <f>+IF(ISBLANK(C6),"",+D6/C6-1)</f>
        <v>8.9877133852716673E-2</v>
      </c>
    </row>
    <row r="7" spans="1:6" ht="15" customHeight="1" x14ac:dyDescent="0.35">
      <c r="A7" s="105" t="s">
        <v>2</v>
      </c>
      <c r="B7" s="106">
        <v>6234149.1600000001</v>
      </c>
      <c r="C7" s="107">
        <v>7512673.7199999997</v>
      </c>
      <c r="D7" s="106">
        <v>7091120.2800000003</v>
      </c>
      <c r="E7" s="108">
        <f t="shared" ref="E7:F63" si="0">+IF(ISBLANK(B7),"",+C7/B7-1)</f>
        <v>0.20508405031489496</v>
      </c>
      <c r="F7" s="109">
        <f t="shared" si="0"/>
        <v>-5.6112305114190408E-2</v>
      </c>
    </row>
    <row r="8" spans="1:6" ht="15" customHeight="1" x14ac:dyDescent="0.35">
      <c r="A8" s="105" t="s">
        <v>4</v>
      </c>
      <c r="B8" s="106">
        <v>334933.15000000002</v>
      </c>
      <c r="C8" s="107">
        <f>483859.51+120</f>
        <v>483979.51</v>
      </c>
      <c r="D8" s="106">
        <v>262224.40000000002</v>
      </c>
      <c r="E8" s="108">
        <f t="shared" si="0"/>
        <v>0.44500330886924733</v>
      </c>
      <c r="F8" s="109">
        <f t="shared" si="0"/>
        <v>-0.45819111226423614</v>
      </c>
    </row>
    <row r="9" spans="1:6" ht="15" customHeight="1" x14ac:dyDescent="0.35">
      <c r="A9" s="105" t="s">
        <v>3</v>
      </c>
      <c r="B9" s="106">
        <v>46120.24</v>
      </c>
      <c r="C9" s="107">
        <v>52343.11</v>
      </c>
      <c r="D9" s="106">
        <v>66437.75</v>
      </c>
      <c r="E9" s="108">
        <f t="shared" si="0"/>
        <v>0.1349270949153778</v>
      </c>
      <c r="F9" s="109">
        <f t="shared" si="0"/>
        <v>0.26927402670571166</v>
      </c>
    </row>
    <row r="10" spans="1:6" ht="15" customHeight="1" x14ac:dyDescent="0.35">
      <c r="A10" s="110" t="s">
        <v>5</v>
      </c>
      <c r="B10" s="111">
        <v>553739.39999999898</v>
      </c>
      <c r="C10" s="112">
        <v>1102570.05</v>
      </c>
      <c r="D10" s="111">
        <v>1557843.52</v>
      </c>
      <c r="E10" s="113">
        <f t="shared" si="0"/>
        <v>0.99113527049005734</v>
      </c>
      <c r="F10" s="114">
        <f t="shared" si="0"/>
        <v>0.41292022216638302</v>
      </c>
    </row>
    <row r="11" spans="1:6" s="3" customFormat="1" ht="15" customHeight="1" x14ac:dyDescent="0.35">
      <c r="A11" s="64" t="s">
        <v>62</v>
      </c>
      <c r="B11" s="67">
        <f>SUM(B6:B10)</f>
        <v>23532956.169999998</v>
      </c>
      <c r="C11" s="70">
        <f>SUM(C6:C10)</f>
        <v>27339240.940000001</v>
      </c>
      <c r="D11" s="67">
        <f t="shared" ref="D11" si="1">SUM(D6:D10)</f>
        <v>28799956.559999999</v>
      </c>
      <c r="E11" s="73">
        <f t="shared" si="0"/>
        <v>0.16174273824774654</v>
      </c>
      <c r="F11" s="38">
        <f t="shared" si="0"/>
        <v>5.3429267593996244E-2</v>
      </c>
    </row>
    <row r="12" spans="1:6" ht="15" customHeight="1" x14ac:dyDescent="0.35">
      <c r="A12" s="115" t="s">
        <v>29</v>
      </c>
      <c r="B12" s="116">
        <v>13233421.15</v>
      </c>
      <c r="C12" s="117">
        <v>16274492</v>
      </c>
      <c r="D12" s="116">
        <v>15986679</v>
      </c>
      <c r="E12" s="118">
        <f t="shared" si="0"/>
        <v>0.22980231759645919</v>
      </c>
      <c r="F12" s="119">
        <f t="shared" si="0"/>
        <v>-1.7684914527593243E-2</v>
      </c>
    </row>
    <row r="13" spans="1:6" ht="15" customHeight="1" x14ac:dyDescent="0.35">
      <c r="A13" s="105" t="s">
        <v>60</v>
      </c>
      <c r="B13" s="106">
        <v>635856.01</v>
      </c>
      <c r="C13" s="107">
        <v>692427.73</v>
      </c>
      <c r="D13" s="106">
        <v>717290.84</v>
      </c>
      <c r="E13" s="108">
        <f t="shared" si="0"/>
        <v>8.896938789648301E-2</v>
      </c>
      <c r="F13" s="109">
        <f t="shared" si="0"/>
        <v>3.5907155249256029E-2</v>
      </c>
    </row>
    <row r="14" spans="1:6" ht="15" customHeight="1" x14ac:dyDescent="0.35">
      <c r="A14" s="110" t="s">
        <v>61</v>
      </c>
      <c r="B14" s="111">
        <v>203358.94</v>
      </c>
      <c r="C14" s="112">
        <v>1546449.5199999996</v>
      </c>
      <c r="D14" s="111">
        <v>224829.22999999992</v>
      </c>
      <c r="E14" s="113">
        <f t="shared" si="0"/>
        <v>6.6045317702777142</v>
      </c>
      <c r="F14" s="114">
        <f t="shared" si="0"/>
        <v>-0.85461586227528463</v>
      </c>
    </row>
    <row r="15" spans="1:6" s="3" customFormat="1" ht="15" customHeight="1" x14ac:dyDescent="0.35">
      <c r="A15" s="64" t="s">
        <v>63</v>
      </c>
      <c r="B15" s="67">
        <f>SUM(B12:B14)</f>
        <v>14072636.1</v>
      </c>
      <c r="C15" s="70">
        <f t="shared" ref="C15:D15" si="2">SUM(C12:C14)</f>
        <v>18513369.25</v>
      </c>
      <c r="D15" s="67">
        <f t="shared" si="2"/>
        <v>16928799.07</v>
      </c>
      <c r="E15" s="73">
        <f t="shared" si="0"/>
        <v>0.31555801759131685</v>
      </c>
      <c r="F15" s="38">
        <f t="shared" si="0"/>
        <v>-8.5590589081995461E-2</v>
      </c>
    </row>
    <row r="16" spans="1:6" s="11" customFormat="1" ht="15" customHeight="1" x14ac:dyDescent="0.35">
      <c r="A16" s="120" t="s">
        <v>74</v>
      </c>
      <c r="B16" s="121">
        <v>5929966.0899999999</v>
      </c>
      <c r="C16" s="122">
        <v>4885176.0599999996</v>
      </c>
      <c r="D16" s="121">
        <v>4911694.82</v>
      </c>
      <c r="E16" s="123">
        <f t="shared" si="0"/>
        <v>-0.17618819638140637</v>
      </c>
      <c r="F16" s="124">
        <f t="shared" si="0"/>
        <v>5.4284143855403144E-3</v>
      </c>
    </row>
    <row r="17" spans="1:6" s="11" customFormat="1" ht="15" customHeight="1" x14ac:dyDescent="0.35">
      <c r="A17" s="125" t="s">
        <v>71</v>
      </c>
      <c r="B17" s="126">
        <v>920471.33</v>
      </c>
      <c r="C17" s="127">
        <v>1666457.7</v>
      </c>
      <c r="D17" s="126">
        <v>984951.1</v>
      </c>
      <c r="E17" s="128">
        <f t="shared" si="0"/>
        <v>0.81043954948602259</v>
      </c>
      <c r="F17" s="129">
        <f t="shared" si="0"/>
        <v>-0.4089552348073402</v>
      </c>
    </row>
    <row r="18" spans="1:6" s="11" customFormat="1" ht="15" customHeight="1" x14ac:dyDescent="0.35">
      <c r="A18" s="125" t="s">
        <v>72</v>
      </c>
      <c r="B18" s="126">
        <v>27000</v>
      </c>
      <c r="C18" s="127">
        <v>7324.74</v>
      </c>
      <c r="D18" s="126">
        <v>9141.7800000000007</v>
      </c>
      <c r="E18" s="128">
        <f t="shared" si="0"/>
        <v>-0.72871333333333332</v>
      </c>
      <c r="F18" s="129">
        <f t="shared" si="0"/>
        <v>0.24806887343441564</v>
      </c>
    </row>
    <row r="19" spans="1:6" s="11" customFormat="1" ht="15" customHeight="1" x14ac:dyDescent="0.35">
      <c r="A19" s="130" t="s">
        <v>73</v>
      </c>
      <c r="B19" s="131">
        <v>185588.61</v>
      </c>
      <c r="C19" s="132">
        <v>248222.39</v>
      </c>
      <c r="D19" s="131">
        <v>279004.17</v>
      </c>
      <c r="E19" s="133">
        <f t="shared" si="0"/>
        <v>0.33748719816372375</v>
      </c>
      <c r="F19" s="134">
        <f t="shared" si="0"/>
        <v>0.12400887768424096</v>
      </c>
    </row>
    <row r="20" spans="1:6" ht="15" customHeight="1" x14ac:dyDescent="0.35">
      <c r="A20" s="65" t="s">
        <v>84</v>
      </c>
      <c r="B20" s="68">
        <f>SUM(B16:B19)</f>
        <v>7063026.0300000003</v>
      </c>
      <c r="C20" s="71">
        <f t="shared" ref="C20:D20" si="3">SUM(C16:C19)</f>
        <v>6807180.8899999997</v>
      </c>
      <c r="D20" s="68">
        <f t="shared" si="3"/>
        <v>6184791.8700000001</v>
      </c>
      <c r="E20" s="74">
        <f t="shared" si="0"/>
        <v>-3.6223162552892485E-2</v>
      </c>
      <c r="F20" s="32">
        <f t="shared" si="0"/>
        <v>-9.1431244454560079E-2</v>
      </c>
    </row>
    <row r="21" spans="1:6" ht="15" customHeight="1" thickBot="1" x14ac:dyDescent="0.4">
      <c r="A21" s="75" t="s">
        <v>64</v>
      </c>
      <c r="B21" s="76"/>
      <c r="C21" s="77"/>
      <c r="D21" s="76">
        <v>55.79</v>
      </c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44668618.299999997</v>
      </c>
      <c r="C22" s="87">
        <f>C11+C15+C20+C21</f>
        <v>52659791.079999998</v>
      </c>
      <c r="D22" s="86">
        <f>D11+D15+D20+D21</f>
        <v>51913603.289999992</v>
      </c>
      <c r="E22" s="88">
        <f t="shared" si="0"/>
        <v>0.1788990365972436</v>
      </c>
      <c r="F22" s="89">
        <f t="shared" si="0"/>
        <v>-1.4169972472287462E-2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11998171.140000001</v>
      </c>
      <c r="C24" s="155">
        <v>12969420.390000001</v>
      </c>
      <c r="D24" s="155">
        <v>13521918.92</v>
      </c>
      <c r="E24" s="156">
        <f t="shared" si="0"/>
        <v>8.0949774650405537E-2</v>
      </c>
      <c r="F24" s="104">
        <f t="shared" si="0"/>
        <v>4.2600094174293224E-2</v>
      </c>
    </row>
    <row r="25" spans="1:6" ht="15" customHeight="1" x14ac:dyDescent="0.35">
      <c r="A25" s="157" t="s">
        <v>40</v>
      </c>
      <c r="B25" s="158">
        <v>5651613.6600000001</v>
      </c>
      <c r="C25" s="158">
        <v>5916858.1199999992</v>
      </c>
      <c r="D25" s="158">
        <v>6131848.9199999999</v>
      </c>
      <c r="E25" s="159">
        <f t="shared" si="0"/>
        <v>4.693251803061127E-2</v>
      </c>
      <c r="F25" s="109">
        <f t="shared" si="0"/>
        <v>3.6335297490621699E-2</v>
      </c>
    </row>
    <row r="26" spans="1:6" ht="15" customHeight="1" x14ac:dyDescent="0.35">
      <c r="A26" s="160" t="s">
        <v>41</v>
      </c>
      <c r="B26" s="161">
        <v>305183.95</v>
      </c>
      <c r="C26" s="161">
        <v>207470.3</v>
      </c>
      <c r="D26" s="161">
        <v>227055.54</v>
      </c>
      <c r="E26" s="162">
        <f t="shared" si="0"/>
        <v>-0.32017951795957822</v>
      </c>
      <c r="F26" s="114">
        <f t="shared" si="0"/>
        <v>9.4400210536158768E-2</v>
      </c>
    </row>
    <row r="27" spans="1:6" ht="15" customHeight="1" x14ac:dyDescent="0.35">
      <c r="A27" s="31" t="s">
        <v>65</v>
      </c>
      <c r="B27" s="23">
        <f>B24+B25+B26</f>
        <v>17954968.75</v>
      </c>
      <c r="C27" s="23">
        <f t="shared" ref="C27:D27" si="4">C24+C25+C26</f>
        <v>19093748.809999999</v>
      </c>
      <c r="D27" s="23">
        <f t="shared" si="4"/>
        <v>19880823.379999999</v>
      </c>
      <c r="E27" s="24">
        <f t="shared" si="0"/>
        <v>6.3424229574334356E-2</v>
      </c>
      <c r="F27" s="32">
        <f t="shared" si="0"/>
        <v>4.1221583976625009E-2</v>
      </c>
    </row>
    <row r="28" spans="1:6" ht="15" customHeight="1" x14ac:dyDescent="0.35">
      <c r="A28" s="33" t="s">
        <v>66</v>
      </c>
      <c r="B28" s="23">
        <v>4107921.9000000004</v>
      </c>
      <c r="C28" s="23">
        <v>5038430.4499999993</v>
      </c>
      <c r="D28" s="23">
        <v>4922306.05</v>
      </c>
      <c r="E28" s="24">
        <f t="shared" si="0"/>
        <v>0.22651563799204633</v>
      </c>
      <c r="F28" s="32">
        <f t="shared" si="0"/>
        <v>-2.3047733049485597E-2</v>
      </c>
    </row>
    <row r="29" spans="1:6" s="6" customFormat="1" ht="15" customHeight="1" x14ac:dyDescent="0.35">
      <c r="A29" s="182" t="s">
        <v>26</v>
      </c>
      <c r="B29" s="183">
        <v>3750003.5500000003</v>
      </c>
      <c r="C29" s="183">
        <v>4569003.75</v>
      </c>
      <c r="D29" s="183">
        <v>4553797.6100000003</v>
      </c>
      <c r="E29" s="184">
        <f t="shared" si="0"/>
        <v>0.21839984658147849</v>
      </c>
      <c r="F29" s="185">
        <f t="shared" si="0"/>
        <v>-3.3281084525264015E-3</v>
      </c>
    </row>
    <row r="30" spans="1:6" s="163" customFormat="1" ht="15" customHeight="1" x14ac:dyDescent="0.35">
      <c r="A30" s="171" t="s">
        <v>76</v>
      </c>
      <c r="B30" s="172">
        <f>SUM(B31:B36)</f>
        <v>3520067.2299999995</v>
      </c>
      <c r="C30" s="172">
        <f t="shared" ref="C30:D30" si="5">SUM(C31:C36)</f>
        <v>6949175.1799999997</v>
      </c>
      <c r="D30" s="172">
        <f t="shared" si="5"/>
        <v>5190460.57</v>
      </c>
      <c r="E30" s="169">
        <f t="shared" si="0"/>
        <v>0.97415978898789413</v>
      </c>
      <c r="F30" s="170">
        <f t="shared" si="0"/>
        <v>-0.2530824974828163</v>
      </c>
    </row>
    <row r="31" spans="1:6" s="9" customFormat="1" ht="15" customHeight="1" x14ac:dyDescent="0.35">
      <c r="A31" s="165" t="s">
        <v>21</v>
      </c>
      <c r="B31" s="166">
        <v>1453394.42</v>
      </c>
      <c r="C31" s="166">
        <v>4404652.67</v>
      </c>
      <c r="D31" s="166">
        <v>2477879.33</v>
      </c>
      <c r="E31" s="167">
        <f t="shared" si="0"/>
        <v>2.0305969318363011</v>
      </c>
      <c r="F31" s="168">
        <f t="shared" si="0"/>
        <v>-0.43744047132778796</v>
      </c>
    </row>
    <row r="32" spans="1:6" s="9" customFormat="1" ht="15" customHeight="1" x14ac:dyDescent="0.35">
      <c r="A32" s="165" t="s">
        <v>22</v>
      </c>
      <c r="B32" s="166">
        <v>14992.5</v>
      </c>
      <c r="C32" s="166">
        <v>18016.560000000001</v>
      </c>
      <c r="D32" s="166">
        <v>16493.23</v>
      </c>
      <c r="E32" s="167">
        <f t="shared" si="0"/>
        <v>0.20170485242621328</v>
      </c>
      <c r="F32" s="168">
        <f t="shared" si="0"/>
        <v>-8.4551656920078044E-2</v>
      </c>
    </row>
    <row r="33" spans="1:6" s="9" customFormat="1" ht="15" customHeight="1" x14ac:dyDescent="0.35">
      <c r="A33" s="165" t="s">
        <v>23</v>
      </c>
      <c r="B33" s="166">
        <v>754894.11</v>
      </c>
      <c r="C33" s="166">
        <v>775605.5</v>
      </c>
      <c r="D33" s="166">
        <v>650811.16</v>
      </c>
      <c r="E33" s="167">
        <f t="shared" si="0"/>
        <v>2.7436152601588049E-2</v>
      </c>
      <c r="F33" s="168">
        <f t="shared" si="0"/>
        <v>-0.16089924581504378</v>
      </c>
    </row>
    <row r="34" spans="1:6" s="9" customFormat="1" ht="15" customHeight="1" x14ac:dyDescent="0.35">
      <c r="A34" s="165" t="s">
        <v>24</v>
      </c>
      <c r="B34" s="166">
        <v>732715.13</v>
      </c>
      <c r="C34" s="166">
        <v>1152152.67</v>
      </c>
      <c r="D34" s="166">
        <v>1227097.01</v>
      </c>
      <c r="E34" s="167">
        <f t="shared" si="0"/>
        <v>0.57244285374590254</v>
      </c>
      <c r="F34" s="168">
        <f t="shared" si="0"/>
        <v>6.5047230242499143E-2</v>
      </c>
    </row>
    <row r="35" spans="1:6" s="9" customFormat="1" ht="15" customHeight="1" x14ac:dyDescent="0.35">
      <c r="A35" s="165" t="s">
        <v>25</v>
      </c>
      <c r="B35" s="166">
        <v>564071.06999999995</v>
      </c>
      <c r="C35" s="166">
        <v>598707.02</v>
      </c>
      <c r="D35" s="166">
        <v>800268.12</v>
      </c>
      <c r="E35" s="167">
        <f t="shared" si="0"/>
        <v>6.1403521368327052E-2</v>
      </c>
      <c r="F35" s="168">
        <f t="shared" si="0"/>
        <v>0.33666065916514554</v>
      </c>
    </row>
    <row r="36" spans="1:6" s="9" customFormat="1" ht="15" customHeight="1" x14ac:dyDescent="0.35">
      <c r="A36" s="165" t="s">
        <v>32</v>
      </c>
      <c r="B36" s="166"/>
      <c r="C36" s="166">
        <v>40.76</v>
      </c>
      <c r="D36" s="166">
        <v>17911.72</v>
      </c>
      <c r="E36" s="167" t="str">
        <f t="shared" si="0"/>
        <v/>
      </c>
      <c r="F36" s="168">
        <f t="shared" si="0"/>
        <v>438.44357212953884</v>
      </c>
    </row>
    <row r="37" spans="1:6" s="10" customFormat="1" ht="15" customHeight="1" x14ac:dyDescent="0.35">
      <c r="A37" s="171" t="s">
        <v>77</v>
      </c>
      <c r="B37" s="172">
        <v>1230673.1199999999</v>
      </c>
      <c r="C37" s="172">
        <v>1235874.8999999999</v>
      </c>
      <c r="D37" s="172">
        <v>1256474.42</v>
      </c>
      <c r="E37" s="169">
        <f t="shared" si="0"/>
        <v>4.2267763189627328E-3</v>
      </c>
      <c r="F37" s="170">
        <f t="shared" si="0"/>
        <v>1.6667965341799595E-2</v>
      </c>
    </row>
    <row r="38" spans="1:6" s="7" customFormat="1" ht="15" customHeight="1" x14ac:dyDescent="0.35">
      <c r="A38" s="173" t="s">
        <v>70</v>
      </c>
      <c r="B38" s="174">
        <v>1027861.85</v>
      </c>
      <c r="C38" s="174">
        <v>1057829.08</v>
      </c>
      <c r="D38" s="174">
        <v>1025567.5800000001</v>
      </c>
      <c r="E38" s="169">
        <f t="shared" si="0"/>
        <v>2.9154919992409489E-2</v>
      </c>
      <c r="F38" s="170">
        <f t="shared" si="0"/>
        <v>-3.0497838081743778E-2</v>
      </c>
    </row>
    <row r="39" spans="1:6" s="10" customFormat="1" ht="15" customHeight="1" x14ac:dyDescent="0.35">
      <c r="A39" s="171" t="s">
        <v>78</v>
      </c>
      <c r="B39" s="172">
        <v>2707997.63</v>
      </c>
      <c r="C39" s="172">
        <v>3273214.88</v>
      </c>
      <c r="D39" s="172">
        <v>3707949.78</v>
      </c>
      <c r="E39" s="169">
        <f t="shared" si="0"/>
        <v>0.20872147144382835</v>
      </c>
      <c r="F39" s="170">
        <f t="shared" si="0"/>
        <v>0.13281587550402429</v>
      </c>
    </row>
    <row r="40" spans="1:6" s="10" customFormat="1" ht="15" customHeight="1" x14ac:dyDescent="0.35">
      <c r="A40" s="175" t="s">
        <v>79</v>
      </c>
      <c r="B40" s="176">
        <v>4299337.1899999985</v>
      </c>
      <c r="C40" s="176">
        <v>4223574.290000001</v>
      </c>
      <c r="D40" s="176">
        <v>4389021.29</v>
      </c>
      <c r="E40" s="177">
        <f t="shared" si="0"/>
        <v>-1.7621995356916331E-2</v>
      </c>
      <c r="F40" s="178">
        <f t="shared" si="0"/>
        <v>3.9172271786889645E-2</v>
      </c>
    </row>
    <row r="41" spans="1:6" ht="15" customHeight="1" x14ac:dyDescent="0.35">
      <c r="A41" s="31" t="s">
        <v>75</v>
      </c>
      <c r="B41" s="23">
        <f>+B30+B37+B39+B40</f>
        <v>11758075.169999998</v>
      </c>
      <c r="C41" s="23">
        <f>+C30+C37+C39+C40</f>
        <v>15681839.250000002</v>
      </c>
      <c r="D41" s="23">
        <f>+D30+D37+D39+D40</f>
        <v>14543906.059999999</v>
      </c>
      <c r="E41" s="24">
        <f t="shared" si="0"/>
        <v>0.33370802816529399</v>
      </c>
      <c r="F41" s="32">
        <f t="shared" si="0"/>
        <v>-7.2563758106371501E-2</v>
      </c>
    </row>
    <row r="42" spans="1:6" ht="15" customHeight="1" x14ac:dyDescent="0.35">
      <c r="A42" s="33" t="s">
        <v>67</v>
      </c>
      <c r="B42" s="23">
        <v>678742.52000000014</v>
      </c>
      <c r="C42" s="23">
        <v>770082.25999999989</v>
      </c>
      <c r="D42" s="23">
        <v>915233.29999999993</v>
      </c>
      <c r="E42" s="24">
        <f t="shared" si="0"/>
        <v>0.13457200235517841</v>
      </c>
      <c r="F42" s="32">
        <f t="shared" si="0"/>
        <v>0.18848770779371038</v>
      </c>
    </row>
    <row r="43" spans="1:6" ht="15" customHeight="1" x14ac:dyDescent="0.35">
      <c r="A43" s="33" t="s">
        <v>68</v>
      </c>
      <c r="B43" s="23">
        <v>848911.4</v>
      </c>
      <c r="C43" s="23">
        <v>941667.65</v>
      </c>
      <c r="D43" s="23">
        <v>874106.61</v>
      </c>
      <c r="E43" s="24">
        <f t="shared" si="0"/>
        <v>0.10926493624658584</v>
      </c>
      <c r="F43" s="32">
        <f t="shared" si="0"/>
        <v>-7.1746162247370404E-2</v>
      </c>
    </row>
    <row r="44" spans="1:6" ht="15" customHeight="1" x14ac:dyDescent="0.35">
      <c r="A44" s="33" t="s">
        <v>69</v>
      </c>
      <c r="B44" s="23">
        <v>574359.65999999992</v>
      </c>
      <c r="C44" s="23">
        <v>652349.93999999994</v>
      </c>
      <c r="D44" s="23">
        <v>560564.91999999993</v>
      </c>
      <c r="E44" s="24">
        <f t="shared" si="0"/>
        <v>0.13578648611916799</v>
      </c>
      <c r="F44" s="32">
        <f t="shared" si="0"/>
        <v>-0.14069905486616585</v>
      </c>
    </row>
    <row r="45" spans="1:6" ht="15" customHeight="1" x14ac:dyDescent="0.35">
      <c r="A45" s="186" t="s">
        <v>80</v>
      </c>
      <c r="B45" s="187">
        <v>5979080.3799999999</v>
      </c>
      <c r="C45" s="187">
        <v>6098532.5199999996</v>
      </c>
      <c r="D45" s="187">
        <v>6140874.7400000002</v>
      </c>
      <c r="E45" s="188">
        <f t="shared" si="0"/>
        <v>1.997834656974451E-2</v>
      </c>
      <c r="F45" s="189">
        <f t="shared" si="0"/>
        <v>6.9430178261966624E-3</v>
      </c>
    </row>
    <row r="46" spans="1:6" ht="15" customHeight="1" x14ac:dyDescent="0.35">
      <c r="A46" s="171" t="s">
        <v>81</v>
      </c>
      <c r="B46" s="190">
        <v>1000000</v>
      </c>
      <c r="C46" s="190">
        <v>2328000</v>
      </c>
      <c r="D46" s="190">
        <v>1488133.03</v>
      </c>
      <c r="E46" s="191">
        <f t="shared" si="0"/>
        <v>1.3279999999999998</v>
      </c>
      <c r="F46" s="192">
        <f t="shared" si="0"/>
        <v>-0.36076759879725084</v>
      </c>
    </row>
    <row r="47" spans="1:6" ht="15" customHeight="1" x14ac:dyDescent="0.35">
      <c r="A47" s="175" t="s">
        <v>82</v>
      </c>
      <c r="B47" s="193">
        <v>26100</v>
      </c>
      <c r="C47" s="193">
        <v>27646.33</v>
      </c>
      <c r="D47" s="193">
        <v>89943.41</v>
      </c>
      <c r="E47" s="194">
        <f t="shared" si="0"/>
        <v>5.9246360153256683E-2</v>
      </c>
      <c r="F47" s="195">
        <f t="shared" si="0"/>
        <v>2.2533580406513267</v>
      </c>
    </row>
    <row r="48" spans="1:6" ht="15" customHeight="1" thickBot="1" x14ac:dyDescent="0.4">
      <c r="A48" s="90" t="s">
        <v>83</v>
      </c>
      <c r="B48" s="91">
        <v>7015512.5300000003</v>
      </c>
      <c r="C48" s="91">
        <v>8454178.8500000015</v>
      </c>
      <c r="D48" s="91">
        <v>7718951.1799999997</v>
      </c>
      <c r="E48" s="92">
        <f t="shared" si="0"/>
        <v>0.20506931088041269</v>
      </c>
      <c r="F48" s="79">
        <f t="shared" si="0"/>
        <v>-8.696618359333641E-2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42938491.929999992</v>
      </c>
      <c r="C49" s="97">
        <f>C27+C28+C41+C42+C43+C44+C48</f>
        <v>50632297.209999993</v>
      </c>
      <c r="D49" s="97">
        <f>D27+D28+D41+D42+D43+D44+D48</f>
        <v>49415891.499999993</v>
      </c>
      <c r="E49" s="98">
        <f t="shared" si="0"/>
        <v>0.17918200975811494</v>
      </c>
      <c r="F49" s="99">
        <f t="shared" si="0"/>
        <v>-2.4024304189772305E-2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23532956.169999998</v>
      </c>
      <c r="C51" s="58">
        <f>+C11</f>
        <v>27339240.940000001</v>
      </c>
      <c r="D51" s="44">
        <f>+D11</f>
        <v>28799956.559999999</v>
      </c>
      <c r="E51" s="59">
        <f t="shared" si="0"/>
        <v>0.16174273824774654</v>
      </c>
      <c r="F51" s="28">
        <f t="shared" si="0"/>
        <v>5.3429267593996244E-2</v>
      </c>
    </row>
    <row r="52" spans="1:7" ht="15" customHeight="1" x14ac:dyDescent="0.35">
      <c r="A52" s="40" t="s">
        <v>9</v>
      </c>
      <c r="B52" s="45">
        <f>+B28</f>
        <v>4107921.9000000004</v>
      </c>
      <c r="C52" s="49">
        <f>+C28</f>
        <v>5038430.4499999993</v>
      </c>
      <c r="D52" s="45">
        <f>+D28</f>
        <v>4922306.05</v>
      </c>
      <c r="E52" s="53">
        <f t="shared" si="0"/>
        <v>0.22651563799204633</v>
      </c>
      <c r="F52" s="30">
        <f t="shared" si="0"/>
        <v>-2.3047733049485597E-2</v>
      </c>
    </row>
    <row r="53" spans="1:7" ht="15" customHeight="1" x14ac:dyDescent="0.35">
      <c r="A53" s="40" t="s">
        <v>10</v>
      </c>
      <c r="B53" s="45">
        <f>+B41</f>
        <v>11758075.169999998</v>
      </c>
      <c r="C53" s="49">
        <f>+C41</f>
        <v>15681839.250000002</v>
      </c>
      <c r="D53" s="45">
        <f>+D41</f>
        <v>14543906.059999999</v>
      </c>
      <c r="E53" s="53">
        <f t="shared" si="0"/>
        <v>0.33370802816529399</v>
      </c>
      <c r="F53" s="30">
        <f t="shared" si="0"/>
        <v>-7.2563758106371501E-2</v>
      </c>
    </row>
    <row r="54" spans="1:7" s="3" customFormat="1" ht="15" customHeight="1" x14ac:dyDescent="0.35">
      <c r="A54" s="41" t="s">
        <v>11</v>
      </c>
      <c r="B54" s="46">
        <f>B51-B52-B53</f>
        <v>7666959.0999999978</v>
      </c>
      <c r="C54" s="50">
        <f t="shared" ref="C54:D54" si="6">C51-C52-C53</f>
        <v>6618971.2400000002</v>
      </c>
      <c r="D54" s="46">
        <f t="shared" si="6"/>
        <v>9333744.4499999993</v>
      </c>
      <c r="E54" s="54">
        <f t="shared" si="0"/>
        <v>-0.13668885490728622</v>
      </c>
      <c r="F54" s="34">
        <f t="shared" si="0"/>
        <v>0.41015032571738419</v>
      </c>
      <c r="G54" s="4"/>
    </row>
    <row r="55" spans="1:7" ht="15" customHeight="1" x14ac:dyDescent="0.35">
      <c r="A55" s="40" t="s">
        <v>12</v>
      </c>
      <c r="B55" s="45">
        <f>B15</f>
        <v>14072636.1</v>
      </c>
      <c r="C55" s="49">
        <f>C15</f>
        <v>18513369.25</v>
      </c>
      <c r="D55" s="45">
        <f>D15</f>
        <v>16928799.07</v>
      </c>
      <c r="E55" s="53">
        <f t="shared" si="0"/>
        <v>0.31555801759131685</v>
      </c>
      <c r="F55" s="30">
        <f t="shared" si="0"/>
        <v>-8.5590589081995461E-2</v>
      </c>
    </row>
    <row r="56" spans="1:7" ht="15" customHeight="1" x14ac:dyDescent="0.35">
      <c r="A56" s="40" t="s">
        <v>13</v>
      </c>
      <c r="B56" s="45">
        <f>B27</f>
        <v>17954968.75</v>
      </c>
      <c r="C56" s="49">
        <f>C27</f>
        <v>19093748.809999999</v>
      </c>
      <c r="D56" s="45">
        <f>D27</f>
        <v>19880823.379999999</v>
      </c>
      <c r="E56" s="53">
        <f t="shared" si="0"/>
        <v>6.3424229574334356E-2</v>
      </c>
      <c r="F56" s="30">
        <f t="shared" si="0"/>
        <v>4.1221583976625009E-2</v>
      </c>
    </row>
    <row r="57" spans="1:7" ht="15" customHeight="1" x14ac:dyDescent="0.35">
      <c r="A57" s="40" t="s">
        <v>14</v>
      </c>
      <c r="B57" s="45">
        <f>B42+B43</f>
        <v>1527653.9200000002</v>
      </c>
      <c r="C57" s="49">
        <f t="shared" ref="C57:D57" si="7">C42+C43</f>
        <v>1711749.91</v>
      </c>
      <c r="D57" s="45">
        <f t="shared" si="7"/>
        <v>1789339.91</v>
      </c>
      <c r="E57" s="53">
        <f t="shared" si="0"/>
        <v>0.1205089631819225</v>
      </c>
      <c r="F57" s="30">
        <f t="shared" si="0"/>
        <v>4.5327883206957464E-2</v>
      </c>
    </row>
    <row r="58" spans="1:7" s="3" customFormat="1" ht="15" customHeight="1" x14ac:dyDescent="0.35">
      <c r="A58" s="42" t="s">
        <v>15</v>
      </c>
      <c r="B58" s="47">
        <f>+B54+B55-B56-B57</f>
        <v>2256972.5299999956</v>
      </c>
      <c r="C58" s="51">
        <f>+C54+C55-C56-C57</f>
        <v>4326841.7700000033</v>
      </c>
      <c r="D58" s="47">
        <f t="shared" ref="D58" si="8">+D54+D55-D56-D57</f>
        <v>4592380.2300000004</v>
      </c>
      <c r="E58" s="55">
        <f t="shared" si="0"/>
        <v>0.91709988158341105</v>
      </c>
      <c r="F58" s="35">
        <f t="shared" si="0"/>
        <v>6.1370041733695535E-2</v>
      </c>
      <c r="G58" s="4"/>
    </row>
    <row r="59" spans="1:7" ht="15" customHeight="1" x14ac:dyDescent="0.35">
      <c r="A59" s="40" t="s">
        <v>16</v>
      </c>
      <c r="B59" s="45">
        <f t="shared" ref="B59:D60" si="9">B20</f>
        <v>7063026.0300000003</v>
      </c>
      <c r="C59" s="49">
        <f t="shared" si="9"/>
        <v>6807180.8899999997</v>
      </c>
      <c r="D59" s="45">
        <f t="shared" si="9"/>
        <v>6184791.8700000001</v>
      </c>
      <c r="E59" s="53">
        <f t="shared" si="0"/>
        <v>-3.6223162552892485E-2</v>
      </c>
      <c r="F59" s="30">
        <f t="shared" si="0"/>
        <v>-9.1431244454560079E-2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55.79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7015512.5300000003</v>
      </c>
      <c r="C61" s="49">
        <f t="shared" ref="C61:D61" si="10">C48</f>
        <v>8454178.8500000015</v>
      </c>
      <c r="D61" s="45">
        <f t="shared" si="10"/>
        <v>7718951.1799999997</v>
      </c>
      <c r="E61" s="53">
        <f t="shared" si="0"/>
        <v>0.20506931088041269</v>
      </c>
      <c r="F61" s="30">
        <f t="shared" si="0"/>
        <v>-8.696618359333641E-2</v>
      </c>
    </row>
    <row r="62" spans="1:7" ht="15" customHeight="1" x14ac:dyDescent="0.35">
      <c r="A62" s="40" t="s">
        <v>19</v>
      </c>
      <c r="B62" s="45">
        <f>B44</f>
        <v>574359.65999999992</v>
      </c>
      <c r="C62" s="49">
        <f t="shared" ref="C62:D62" si="11">C44</f>
        <v>652349.93999999994</v>
      </c>
      <c r="D62" s="45">
        <f t="shared" si="11"/>
        <v>560564.91999999993</v>
      </c>
      <c r="E62" s="53">
        <f t="shared" si="0"/>
        <v>0.13578648611916799</v>
      </c>
      <c r="F62" s="30">
        <f t="shared" si="0"/>
        <v>-0.14069905486616585</v>
      </c>
    </row>
    <row r="63" spans="1:7" s="3" customFormat="1" ht="15" customHeight="1" thickBot="1" x14ac:dyDescent="0.4">
      <c r="A63" s="43" t="s">
        <v>20</v>
      </c>
      <c r="B63" s="48">
        <f>B58+B59+B60-B61-B62</f>
        <v>1730126.3699999948</v>
      </c>
      <c r="C63" s="52">
        <f t="shared" ref="C63:D63" si="12">C58+C59+C60-C61-C62</f>
        <v>2027493.8700000024</v>
      </c>
      <c r="D63" s="48">
        <f t="shared" si="12"/>
        <v>2497711.790000001</v>
      </c>
      <c r="E63" s="56">
        <f t="shared" si="0"/>
        <v>0.17187617341501404</v>
      </c>
      <c r="F63" s="36">
        <f t="shared" si="0"/>
        <v>0.2319207603818787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5979080.3799999999</v>
      </c>
      <c r="C65" s="26">
        <f t="shared" ref="C65:D65" si="13">C45</f>
        <v>6098532.5199999996</v>
      </c>
      <c r="D65" s="26">
        <f t="shared" si="13"/>
        <v>6140874.7400000002</v>
      </c>
      <c r="E65" s="27">
        <f t="shared" ref="E65:E66" si="14">+IF(ISBLANK(B65),"",+C65/B65-1)</f>
        <v>1.997834656974451E-2</v>
      </c>
      <c r="F65" s="28">
        <f t="shared" ref="F65:F66" si="15">+IF(ISBLANK(C65),"",+D65/C65-1)</f>
        <v>6.9430178261966624E-3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5929966.0899999999</v>
      </c>
      <c r="C66" s="19">
        <f t="shared" si="16"/>
        <v>4885176.0599999996</v>
      </c>
      <c r="D66" s="19">
        <f t="shared" si="16"/>
        <v>4911694.82</v>
      </c>
      <c r="E66" s="20">
        <f t="shared" si="14"/>
        <v>-0.17618819638140637</v>
      </c>
      <c r="F66" s="30">
        <f t="shared" si="15"/>
        <v>5.4284143855403144E-3</v>
      </c>
    </row>
    <row r="67" spans="1:6" ht="15" customHeight="1" thickBot="1" x14ac:dyDescent="0.4">
      <c r="A67" s="207" t="s">
        <v>85</v>
      </c>
      <c r="B67" s="208">
        <f>B65-B66</f>
        <v>49114.290000000037</v>
      </c>
      <c r="C67" s="208">
        <f t="shared" ref="C67:D67" si="17">C65-C66</f>
        <v>1213356.46</v>
      </c>
      <c r="D67" s="208">
        <f t="shared" si="17"/>
        <v>1229179.92</v>
      </c>
      <c r="E67" s="209">
        <f>+IF(ISBLANK(B67),"",+C67/B67-1)</f>
        <v>23.704754156071463</v>
      </c>
      <c r="F67" s="210">
        <f>+IF(ISBLANK(C67),"",+D67/C67-1)</f>
        <v>1.3041064618389164E-2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78F04-E26B-44EB-8444-9006BBD4E150}">
  <sheetPr>
    <tabColor theme="5" tint="0.79998168889431442"/>
    <pageSetUpPr fitToPage="1"/>
  </sheetPr>
  <dimension ref="A1:G72"/>
  <sheetViews>
    <sheetView topLeftCell="A3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58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31824214.670000002</v>
      </c>
      <c r="C6" s="102">
        <v>33496036.469999999</v>
      </c>
      <c r="D6" s="101">
        <v>37563089.789999999</v>
      </c>
      <c r="E6" s="103">
        <f>+IF(ISBLANK(B6),"",+C6/B6-1)</f>
        <v>5.2533010392743051E-2</v>
      </c>
      <c r="F6" s="104">
        <f>+IF(ISBLANK(C6),"",+D6/C6-1)</f>
        <v>0.12141894231702821</v>
      </c>
    </row>
    <row r="7" spans="1:6" ht="15" customHeight="1" x14ac:dyDescent="0.35">
      <c r="A7" s="105" t="s">
        <v>2</v>
      </c>
      <c r="B7" s="106">
        <v>8875095.0999999996</v>
      </c>
      <c r="C7" s="107">
        <v>9905849.9700000007</v>
      </c>
      <c r="D7" s="106">
        <v>10974801.6</v>
      </c>
      <c r="E7" s="108">
        <f t="shared" ref="E7:F63" si="0">+IF(ISBLANK(B7),"",+C7/B7-1)</f>
        <v>0.11614014930386496</v>
      </c>
      <c r="F7" s="109">
        <f t="shared" si="0"/>
        <v>0.10791114677057823</v>
      </c>
    </row>
    <row r="8" spans="1:6" ht="15" customHeight="1" x14ac:dyDescent="0.35">
      <c r="A8" s="105" t="s">
        <v>4</v>
      </c>
      <c r="B8" s="106">
        <v>102135.96</v>
      </c>
      <c r="C8" s="107">
        <v>109963.28</v>
      </c>
      <c r="D8" s="106">
        <v>163159.37</v>
      </c>
      <c r="E8" s="108">
        <f t="shared" si="0"/>
        <v>7.6636279719699107E-2</v>
      </c>
      <c r="F8" s="109">
        <f t="shared" si="0"/>
        <v>0.48376230683551813</v>
      </c>
    </row>
    <row r="9" spans="1:6" ht="15" customHeight="1" x14ac:dyDescent="0.35">
      <c r="A9" s="105" t="s">
        <v>3</v>
      </c>
      <c r="B9" s="106">
        <v>336410.88</v>
      </c>
      <c r="C9" s="107">
        <v>364213.96</v>
      </c>
      <c r="D9" s="106">
        <v>57018.09</v>
      </c>
      <c r="E9" s="108">
        <f t="shared" si="0"/>
        <v>8.2646197411926803E-2</v>
      </c>
      <c r="F9" s="109">
        <f t="shared" si="0"/>
        <v>-0.84344891667524224</v>
      </c>
    </row>
    <row r="10" spans="1:6" ht="15" customHeight="1" x14ac:dyDescent="0.35">
      <c r="A10" s="110" t="s">
        <v>5</v>
      </c>
      <c r="B10" s="111">
        <v>668265.82999999996</v>
      </c>
      <c r="C10" s="112">
        <v>2120305.5299999998</v>
      </c>
      <c r="D10" s="111">
        <v>1760966.66</v>
      </c>
      <c r="E10" s="113">
        <f t="shared" si="0"/>
        <v>2.1728474430601965</v>
      </c>
      <c r="F10" s="114">
        <f t="shared" si="0"/>
        <v>-0.16947504258973467</v>
      </c>
    </row>
    <row r="11" spans="1:6" s="3" customFormat="1" ht="15" customHeight="1" x14ac:dyDescent="0.35">
      <c r="A11" s="64" t="s">
        <v>62</v>
      </c>
      <c r="B11" s="67">
        <f>SUM(B6:B10)</f>
        <v>41806122.440000005</v>
      </c>
      <c r="C11" s="70">
        <f t="shared" ref="C11:D11" si="1">SUM(C6:C10)</f>
        <v>45996369.210000001</v>
      </c>
      <c r="D11" s="67">
        <f t="shared" si="1"/>
        <v>50519035.509999998</v>
      </c>
      <c r="E11" s="73">
        <f t="shared" si="0"/>
        <v>0.10023045729758406</v>
      </c>
      <c r="F11" s="38">
        <f t="shared" si="0"/>
        <v>9.8326593548099694E-2</v>
      </c>
    </row>
    <row r="12" spans="1:6" ht="15" customHeight="1" x14ac:dyDescent="0.35">
      <c r="A12" s="115" t="s">
        <v>29</v>
      </c>
      <c r="B12" s="116">
        <v>21183512.449999999</v>
      </c>
      <c r="C12" s="117">
        <v>26091529</v>
      </c>
      <c r="D12" s="116">
        <v>26100146</v>
      </c>
      <c r="E12" s="118">
        <f t="shared" si="0"/>
        <v>0.23169040363747606</v>
      </c>
      <c r="F12" s="119">
        <f t="shared" si="0"/>
        <v>3.3026044583284175E-4</v>
      </c>
    </row>
    <row r="13" spans="1:6" ht="15" customHeight="1" x14ac:dyDescent="0.35">
      <c r="A13" s="105" t="s">
        <v>60</v>
      </c>
      <c r="B13" s="106">
        <v>1125193.56</v>
      </c>
      <c r="C13" s="107">
        <v>1238192.8899999999</v>
      </c>
      <c r="D13" s="106">
        <v>1308823.2</v>
      </c>
      <c r="E13" s="108">
        <f t="shared" si="0"/>
        <v>0.10042657016273693</v>
      </c>
      <c r="F13" s="109">
        <f t="shared" si="0"/>
        <v>5.7043058937287228E-2</v>
      </c>
    </row>
    <row r="14" spans="1:6" ht="15" customHeight="1" x14ac:dyDescent="0.35">
      <c r="A14" s="110" t="s">
        <v>61</v>
      </c>
      <c r="B14" s="111">
        <v>311963.8900000024</v>
      </c>
      <c r="C14" s="112">
        <v>879781.33999999985</v>
      </c>
      <c r="D14" s="111">
        <v>646125.63000000152</v>
      </c>
      <c r="E14" s="113">
        <f t="shared" si="0"/>
        <v>1.820138382041566</v>
      </c>
      <c r="F14" s="114">
        <f t="shared" si="0"/>
        <v>-0.26558384382191869</v>
      </c>
    </row>
    <row r="15" spans="1:6" s="3" customFormat="1" ht="15" customHeight="1" x14ac:dyDescent="0.35">
      <c r="A15" s="64" t="s">
        <v>63</v>
      </c>
      <c r="B15" s="67">
        <f>SUM(B12:B14)</f>
        <v>22620669.899999999</v>
      </c>
      <c r="C15" s="70">
        <f t="shared" ref="C15:D15" si="2">SUM(C12:C14)</f>
        <v>28209503.23</v>
      </c>
      <c r="D15" s="67">
        <f t="shared" si="2"/>
        <v>28055094.830000002</v>
      </c>
      <c r="E15" s="73">
        <f t="shared" si="0"/>
        <v>0.24706754285822474</v>
      </c>
      <c r="F15" s="38">
        <f t="shared" si="0"/>
        <v>-5.4736305967908461E-3</v>
      </c>
    </row>
    <row r="16" spans="1:6" s="11" customFormat="1" ht="15" customHeight="1" x14ac:dyDescent="0.35">
      <c r="A16" s="120" t="s">
        <v>74</v>
      </c>
      <c r="B16" s="121">
        <v>5093272.4800000004</v>
      </c>
      <c r="C16" s="122">
        <v>5950334.3899999997</v>
      </c>
      <c r="D16" s="121">
        <v>5878063.8499999996</v>
      </c>
      <c r="E16" s="123">
        <f t="shared" si="0"/>
        <v>0.16827332787818938</v>
      </c>
      <c r="F16" s="124">
        <f t="shared" si="0"/>
        <v>-1.2145626659479269E-2</v>
      </c>
    </row>
    <row r="17" spans="1:6" s="11" customFormat="1" ht="15" customHeight="1" x14ac:dyDescent="0.35">
      <c r="A17" s="125" t="s">
        <v>71</v>
      </c>
      <c r="B17" s="126">
        <v>20000</v>
      </c>
      <c r="C17" s="127">
        <v>513443.71</v>
      </c>
      <c r="D17" s="126">
        <v>30000</v>
      </c>
      <c r="E17" s="128">
        <f t="shared" si="0"/>
        <v>24.672185500000001</v>
      </c>
      <c r="F17" s="129">
        <f t="shared" si="0"/>
        <v>-0.94157100493060863</v>
      </c>
    </row>
    <row r="18" spans="1:6" s="11" customFormat="1" ht="15" customHeight="1" x14ac:dyDescent="0.35">
      <c r="A18" s="125" t="s">
        <v>72</v>
      </c>
      <c r="B18" s="126">
        <v>232705</v>
      </c>
      <c r="C18" s="127">
        <v>207024</v>
      </c>
      <c r="D18" s="126">
        <v>12265</v>
      </c>
      <c r="E18" s="128">
        <f t="shared" si="0"/>
        <v>-0.11035860853870783</v>
      </c>
      <c r="F18" s="129">
        <f t="shared" si="0"/>
        <v>-0.94075566117938014</v>
      </c>
    </row>
    <row r="19" spans="1:6" s="11" customFormat="1" ht="15" customHeight="1" x14ac:dyDescent="0.35">
      <c r="A19" s="130" t="s">
        <v>73</v>
      </c>
      <c r="B19" s="131">
        <v>294862.61</v>
      </c>
      <c r="C19" s="132">
        <v>326292.53999999998</v>
      </c>
      <c r="D19" s="131">
        <v>349263.27</v>
      </c>
      <c r="E19" s="133">
        <f t="shared" si="0"/>
        <v>0.10659177845573575</v>
      </c>
      <c r="F19" s="134">
        <f t="shared" si="0"/>
        <v>7.0399188409272284E-2</v>
      </c>
    </row>
    <row r="20" spans="1:6" ht="15" customHeight="1" x14ac:dyDescent="0.35">
      <c r="A20" s="65" t="s">
        <v>84</v>
      </c>
      <c r="B20" s="68">
        <f>SUM(B16:B19)</f>
        <v>5640840.0900000008</v>
      </c>
      <c r="C20" s="71">
        <f t="shared" ref="C20:D20" si="3">SUM(C16:C19)</f>
        <v>6997094.6399999997</v>
      </c>
      <c r="D20" s="68">
        <f t="shared" si="3"/>
        <v>6269592.1199999992</v>
      </c>
      <c r="E20" s="74">
        <f t="shared" si="0"/>
        <v>0.24043485161090583</v>
      </c>
      <c r="F20" s="32">
        <f t="shared" si="0"/>
        <v>-0.1039720851910616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70067632.430000007</v>
      </c>
      <c r="C22" s="87">
        <f>C11+C15+C20+C21</f>
        <v>81202967.079999998</v>
      </c>
      <c r="D22" s="86">
        <f>D11+D15+D20+D21</f>
        <v>84843722.460000008</v>
      </c>
      <c r="E22" s="88">
        <f t="shared" si="0"/>
        <v>0.15892266177431602</v>
      </c>
      <c r="F22" s="89">
        <f t="shared" si="0"/>
        <v>4.4835250618529665E-2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16964304.870000001</v>
      </c>
      <c r="C24" s="155">
        <v>18210419.02</v>
      </c>
      <c r="D24" s="155">
        <v>18903062.620000001</v>
      </c>
      <c r="E24" s="156">
        <f t="shared" si="0"/>
        <v>7.3455066950821601E-2</v>
      </c>
      <c r="F24" s="104">
        <f t="shared" si="0"/>
        <v>3.803556630076943E-2</v>
      </c>
    </row>
    <row r="25" spans="1:6" ht="15" customHeight="1" x14ac:dyDescent="0.35">
      <c r="A25" s="157" t="s">
        <v>40</v>
      </c>
      <c r="B25" s="158">
        <v>7927891.3700000001</v>
      </c>
      <c r="C25" s="158">
        <v>8385195.1399999997</v>
      </c>
      <c r="D25" s="158">
        <v>8499705.9299999997</v>
      </c>
      <c r="E25" s="159">
        <f t="shared" si="0"/>
        <v>5.7682900617241906E-2</v>
      </c>
      <c r="F25" s="109">
        <f t="shared" si="0"/>
        <v>1.3656305916334377E-2</v>
      </c>
    </row>
    <row r="26" spans="1:6" ht="15" customHeight="1" x14ac:dyDescent="0.35">
      <c r="A26" s="160" t="s">
        <v>41</v>
      </c>
      <c r="B26" s="161">
        <v>379176.04000000004</v>
      </c>
      <c r="C26" s="161">
        <v>446272.81999999995</v>
      </c>
      <c r="D26" s="161">
        <v>380364.98</v>
      </c>
      <c r="E26" s="162">
        <f t="shared" si="0"/>
        <v>0.17695416619678794</v>
      </c>
      <c r="F26" s="114">
        <f t="shared" si="0"/>
        <v>-0.14768508644555134</v>
      </c>
    </row>
    <row r="27" spans="1:6" ht="15" customHeight="1" x14ac:dyDescent="0.35">
      <c r="A27" s="31" t="s">
        <v>65</v>
      </c>
      <c r="B27" s="23">
        <f>B24+B25+B26</f>
        <v>25271372.280000001</v>
      </c>
      <c r="C27" s="23">
        <f t="shared" ref="C27:D27" si="4">C24+C25+C26</f>
        <v>27041886.98</v>
      </c>
      <c r="D27" s="23">
        <f t="shared" si="4"/>
        <v>27783133.530000001</v>
      </c>
      <c r="E27" s="24">
        <f t="shared" si="0"/>
        <v>7.0060093309661786E-2</v>
      </c>
      <c r="F27" s="32">
        <f t="shared" si="0"/>
        <v>2.7411051253495078E-2</v>
      </c>
    </row>
    <row r="28" spans="1:6" ht="15" customHeight="1" x14ac:dyDescent="0.35">
      <c r="A28" s="33" t="s">
        <v>66</v>
      </c>
      <c r="B28" s="23">
        <v>6652642.9399999985</v>
      </c>
      <c r="C28" s="23">
        <v>8560263.0799999982</v>
      </c>
      <c r="D28" s="23">
        <v>8988260.7400000021</v>
      </c>
      <c r="E28" s="24">
        <f t="shared" si="0"/>
        <v>0.28674620856774857</v>
      </c>
      <c r="F28" s="32">
        <f t="shared" si="0"/>
        <v>4.9998190008899046E-2</v>
      </c>
    </row>
    <row r="29" spans="1:6" s="6" customFormat="1" ht="15" customHeight="1" x14ac:dyDescent="0.35">
      <c r="A29" s="182" t="s">
        <v>26</v>
      </c>
      <c r="B29" s="183">
        <v>6246237.0999999996</v>
      </c>
      <c r="C29" s="183">
        <v>8121234.6799999997</v>
      </c>
      <c r="D29" s="183">
        <v>8518711.2699999996</v>
      </c>
      <c r="E29" s="184">
        <f t="shared" si="0"/>
        <v>0.30018034057656884</v>
      </c>
      <c r="F29" s="185">
        <f t="shared" si="0"/>
        <v>4.8942876996136642E-2</v>
      </c>
    </row>
    <row r="30" spans="1:6" s="163" customFormat="1" ht="15" customHeight="1" x14ac:dyDescent="0.35">
      <c r="A30" s="171" t="s">
        <v>76</v>
      </c>
      <c r="B30" s="172">
        <f>SUM(B31:B36)</f>
        <v>5675315.5200000005</v>
      </c>
      <c r="C30" s="172">
        <f t="shared" ref="C30:D30" si="5">SUM(C31:C36)</f>
        <v>9418851.1999999993</v>
      </c>
      <c r="D30" s="172">
        <f t="shared" si="5"/>
        <v>8622057.7300000004</v>
      </c>
      <c r="E30" s="169">
        <f t="shared" si="0"/>
        <v>0.65961719076369496</v>
      </c>
      <c r="F30" s="170">
        <f t="shared" si="0"/>
        <v>-8.4595610768328E-2</v>
      </c>
    </row>
    <row r="31" spans="1:6" s="9" customFormat="1" ht="15" customHeight="1" x14ac:dyDescent="0.35">
      <c r="A31" s="165" t="s">
        <v>21</v>
      </c>
      <c r="B31" s="166">
        <v>2275483.2999999998</v>
      </c>
      <c r="C31" s="166">
        <v>5469149.5999999996</v>
      </c>
      <c r="D31" s="166">
        <v>4099167.23</v>
      </c>
      <c r="E31" s="167">
        <f t="shared" si="0"/>
        <v>1.4035112013346791</v>
      </c>
      <c r="F31" s="168">
        <f t="shared" si="0"/>
        <v>-0.25049275850856223</v>
      </c>
    </row>
    <row r="32" spans="1:6" s="9" customFormat="1" ht="15" customHeight="1" x14ac:dyDescent="0.35">
      <c r="A32" s="165" t="s">
        <v>22</v>
      </c>
      <c r="B32" s="166">
        <v>27200.2</v>
      </c>
      <c r="C32" s="166">
        <v>29319.4</v>
      </c>
      <c r="D32" s="166">
        <v>27863.93</v>
      </c>
      <c r="E32" s="167">
        <f t="shared" si="0"/>
        <v>7.7911191829471926E-2</v>
      </c>
      <c r="F32" s="168">
        <f t="shared" si="0"/>
        <v>-4.9641875345334485E-2</v>
      </c>
    </row>
    <row r="33" spans="1:6" s="9" customFormat="1" ht="15" customHeight="1" x14ac:dyDescent="0.35">
      <c r="A33" s="165" t="s">
        <v>23</v>
      </c>
      <c r="B33" s="166">
        <v>828469.82</v>
      </c>
      <c r="C33" s="166">
        <v>1299489.8799999999</v>
      </c>
      <c r="D33" s="166">
        <v>1613139.24</v>
      </c>
      <c r="E33" s="167">
        <f t="shared" si="0"/>
        <v>0.56854220712590342</v>
      </c>
      <c r="F33" s="168">
        <f t="shared" si="0"/>
        <v>0.24136344947911414</v>
      </c>
    </row>
    <row r="34" spans="1:6" s="9" customFormat="1" ht="15" customHeight="1" x14ac:dyDescent="0.35">
      <c r="A34" s="165" t="s">
        <v>24</v>
      </c>
      <c r="B34" s="166">
        <v>1447928.67</v>
      </c>
      <c r="C34" s="166">
        <v>1801769.99</v>
      </c>
      <c r="D34" s="166">
        <v>1514032.9</v>
      </c>
      <c r="E34" s="167">
        <f t="shared" si="0"/>
        <v>0.24437759078283894</v>
      </c>
      <c r="F34" s="168">
        <f t="shared" si="0"/>
        <v>-0.15969690448668206</v>
      </c>
    </row>
    <row r="35" spans="1:6" s="9" customFormat="1" ht="15" customHeight="1" x14ac:dyDescent="0.35">
      <c r="A35" s="165" t="s">
        <v>25</v>
      </c>
      <c r="B35" s="166">
        <v>1096233.53</v>
      </c>
      <c r="C35" s="166">
        <v>819122.33</v>
      </c>
      <c r="D35" s="166">
        <v>1367854.43</v>
      </c>
      <c r="E35" s="167">
        <f t="shared" si="0"/>
        <v>-0.2527848240511309</v>
      </c>
      <c r="F35" s="168">
        <f t="shared" si="0"/>
        <v>0.66990250406187801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8574274.4100000001</v>
      </c>
      <c r="C37" s="172">
        <v>9451049.5300000012</v>
      </c>
      <c r="D37" s="172">
        <v>12019106.649999999</v>
      </c>
      <c r="E37" s="169">
        <f t="shared" si="0"/>
        <v>0.10225648003257692</v>
      </c>
      <c r="F37" s="170">
        <f t="shared" si="0"/>
        <v>0.27172189838264416</v>
      </c>
    </row>
    <row r="38" spans="1:6" s="7" customFormat="1" ht="15" customHeight="1" x14ac:dyDescent="0.35">
      <c r="A38" s="173" t="s">
        <v>70</v>
      </c>
      <c r="B38" s="174">
        <v>8295850.29</v>
      </c>
      <c r="C38" s="174">
        <v>9184819.9600000009</v>
      </c>
      <c r="D38" s="174">
        <v>11652545.67</v>
      </c>
      <c r="E38" s="169">
        <f t="shared" si="0"/>
        <v>0.10715835495146098</v>
      </c>
      <c r="F38" s="170">
        <f t="shared" si="0"/>
        <v>0.26867436931229727</v>
      </c>
    </row>
    <row r="39" spans="1:6" s="10" customFormat="1" ht="15" customHeight="1" x14ac:dyDescent="0.35">
      <c r="A39" s="171" t="s">
        <v>78</v>
      </c>
      <c r="B39" s="172">
        <v>4019469.9800000004</v>
      </c>
      <c r="C39" s="172">
        <v>6321086.3399999999</v>
      </c>
      <c r="D39" s="172">
        <v>5071827.82</v>
      </c>
      <c r="E39" s="169">
        <f t="shared" si="0"/>
        <v>0.57261688019871704</v>
      </c>
      <c r="F39" s="170">
        <f t="shared" si="0"/>
        <v>-0.1976335162667624</v>
      </c>
    </row>
    <row r="40" spans="1:6" s="10" customFormat="1" ht="15" customHeight="1" x14ac:dyDescent="0.35">
      <c r="A40" s="175" t="s">
        <v>79</v>
      </c>
      <c r="B40" s="176">
        <v>7239218.4300000016</v>
      </c>
      <c r="C40" s="176">
        <v>8075695.8499999987</v>
      </c>
      <c r="D40" s="176">
        <v>10062691.260000002</v>
      </c>
      <c r="E40" s="177">
        <f t="shared" si="0"/>
        <v>0.11554802884984872</v>
      </c>
      <c r="F40" s="178">
        <f t="shared" si="0"/>
        <v>0.24604634039059348</v>
      </c>
    </row>
    <row r="41" spans="1:6" ht="15" customHeight="1" x14ac:dyDescent="0.35">
      <c r="A41" s="31" t="s">
        <v>75</v>
      </c>
      <c r="B41" s="23">
        <f>+B30+B37+B39+B40</f>
        <v>25508278.340000004</v>
      </c>
      <c r="C41" s="23">
        <f>+C30+C37+C39+C40</f>
        <v>33266682.919999998</v>
      </c>
      <c r="D41" s="23">
        <f>+D30+D37+D39+D40</f>
        <v>35775683.460000001</v>
      </c>
      <c r="E41" s="24">
        <f t="shared" si="0"/>
        <v>0.30415241971991103</v>
      </c>
      <c r="F41" s="32">
        <f t="shared" si="0"/>
        <v>7.542082106694159E-2</v>
      </c>
    </row>
    <row r="42" spans="1:6" ht="15" customHeight="1" x14ac:dyDescent="0.35">
      <c r="A42" s="33" t="s">
        <v>67</v>
      </c>
      <c r="B42" s="23">
        <v>1328576.29</v>
      </c>
      <c r="C42" s="23">
        <v>1894331.6999999995</v>
      </c>
      <c r="D42" s="23">
        <v>1155078.4799999997</v>
      </c>
      <c r="E42" s="24">
        <f t="shared" si="0"/>
        <v>0.42583584718345335</v>
      </c>
      <c r="F42" s="32">
        <f t="shared" si="0"/>
        <v>-0.39024486577509099</v>
      </c>
    </row>
    <row r="43" spans="1:6" ht="15" customHeight="1" x14ac:dyDescent="0.35">
      <c r="A43" s="33" t="s">
        <v>68</v>
      </c>
      <c r="B43" s="23">
        <v>636337.69999999995</v>
      </c>
      <c r="C43" s="23">
        <v>1414898.8599999999</v>
      </c>
      <c r="D43" s="23">
        <v>1464890.7</v>
      </c>
      <c r="E43" s="24">
        <f t="shared" si="0"/>
        <v>1.2235031179199347</v>
      </c>
      <c r="F43" s="32">
        <f t="shared" si="0"/>
        <v>3.5332447719973459E-2</v>
      </c>
    </row>
    <row r="44" spans="1:6" ht="15" customHeight="1" x14ac:dyDescent="0.35">
      <c r="A44" s="33" t="s">
        <v>69</v>
      </c>
      <c r="B44" s="23">
        <v>334317.83</v>
      </c>
      <c r="C44" s="23">
        <v>673896.86</v>
      </c>
      <c r="D44" s="23">
        <v>734687.98</v>
      </c>
      <c r="E44" s="24">
        <f t="shared" si="0"/>
        <v>1.0157371205717625</v>
      </c>
      <c r="F44" s="32">
        <f t="shared" si="0"/>
        <v>9.0208344345156899E-2</v>
      </c>
    </row>
    <row r="45" spans="1:6" ht="15" customHeight="1" x14ac:dyDescent="0.35">
      <c r="A45" s="186" t="s">
        <v>80</v>
      </c>
      <c r="B45" s="187">
        <v>7291103.8399999999</v>
      </c>
      <c r="C45" s="187">
        <v>7419302.75</v>
      </c>
      <c r="D45" s="187">
        <v>7675120.4800000004</v>
      </c>
      <c r="E45" s="188">
        <f t="shared" si="0"/>
        <v>1.7582921984553801E-2</v>
      </c>
      <c r="F45" s="189">
        <f t="shared" si="0"/>
        <v>3.4480023072249066E-2</v>
      </c>
    </row>
    <row r="46" spans="1:6" ht="15" customHeight="1" x14ac:dyDescent="0.35">
      <c r="A46" s="171" t="s">
        <v>81</v>
      </c>
      <c r="B46" s="190">
        <v>580000</v>
      </c>
      <c r="C46" s="190">
        <v>30000</v>
      </c>
      <c r="D46" s="190">
        <v>824129.45</v>
      </c>
      <c r="E46" s="191">
        <f t="shared" si="0"/>
        <v>-0.94827586206896552</v>
      </c>
      <c r="F46" s="192">
        <f t="shared" si="0"/>
        <v>26.470981666666667</v>
      </c>
    </row>
    <row r="47" spans="1:6" ht="15" customHeight="1" x14ac:dyDescent="0.35">
      <c r="A47" s="175" t="s">
        <v>82</v>
      </c>
      <c r="B47" s="193">
        <v>207024</v>
      </c>
      <c r="C47" s="193">
        <v>503686.26</v>
      </c>
      <c r="D47" s="193"/>
      <c r="E47" s="194">
        <f t="shared" si="0"/>
        <v>1.4329848713192672</v>
      </c>
      <c r="F47" s="195">
        <f t="shared" si="0"/>
        <v>-1</v>
      </c>
    </row>
    <row r="48" spans="1:6" ht="15" customHeight="1" thickBot="1" x14ac:dyDescent="0.4">
      <c r="A48" s="90" t="s">
        <v>83</v>
      </c>
      <c r="B48" s="91">
        <v>8078127.8399999999</v>
      </c>
      <c r="C48" s="91">
        <v>7952989.0099999998</v>
      </c>
      <c r="D48" s="91">
        <v>8499249.9299999997</v>
      </c>
      <c r="E48" s="92">
        <f t="shared" si="0"/>
        <v>-1.5491068286931253E-2</v>
      </c>
      <c r="F48" s="79">
        <f t="shared" si="0"/>
        <v>6.8686241023738104E-2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67809653.219999999</v>
      </c>
      <c r="C49" s="97">
        <f>C27+C28+C41+C42+C43+C44+C48</f>
        <v>80804949.410000011</v>
      </c>
      <c r="D49" s="97">
        <f>D27+D28+D41+D42+D43+D44+D48</f>
        <v>84400984.820000023</v>
      </c>
      <c r="E49" s="98">
        <f t="shared" si="0"/>
        <v>0.19164374942072615</v>
      </c>
      <c r="F49" s="99">
        <f t="shared" si="0"/>
        <v>4.450266272371417E-2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41806122.440000005</v>
      </c>
      <c r="C51" s="58">
        <f>+C11</f>
        <v>45996369.210000001</v>
      </c>
      <c r="D51" s="44">
        <f>+D11</f>
        <v>50519035.509999998</v>
      </c>
      <c r="E51" s="59">
        <f t="shared" si="0"/>
        <v>0.10023045729758406</v>
      </c>
      <c r="F51" s="28">
        <f t="shared" si="0"/>
        <v>9.8326593548099694E-2</v>
      </c>
    </row>
    <row r="52" spans="1:7" ht="15" customHeight="1" x14ac:dyDescent="0.35">
      <c r="A52" s="40" t="s">
        <v>9</v>
      </c>
      <c r="B52" s="45">
        <f>+B28</f>
        <v>6652642.9399999985</v>
      </c>
      <c r="C52" s="49">
        <f>+C28</f>
        <v>8560263.0799999982</v>
      </c>
      <c r="D52" s="45">
        <f>+D28</f>
        <v>8988260.7400000021</v>
      </c>
      <c r="E52" s="53">
        <f t="shared" si="0"/>
        <v>0.28674620856774857</v>
      </c>
      <c r="F52" s="30">
        <f t="shared" si="0"/>
        <v>4.9998190008899046E-2</v>
      </c>
    </row>
    <row r="53" spans="1:7" ht="15" customHeight="1" x14ac:dyDescent="0.35">
      <c r="A53" s="40" t="s">
        <v>10</v>
      </c>
      <c r="B53" s="45">
        <f>+B41</f>
        <v>25508278.340000004</v>
      </c>
      <c r="C53" s="49">
        <f>+C41</f>
        <v>33266682.919999998</v>
      </c>
      <c r="D53" s="45">
        <f>+D41</f>
        <v>35775683.460000001</v>
      </c>
      <c r="E53" s="53">
        <f t="shared" si="0"/>
        <v>0.30415241971991103</v>
      </c>
      <c r="F53" s="30">
        <f t="shared" si="0"/>
        <v>7.542082106694159E-2</v>
      </c>
    </row>
    <row r="54" spans="1:7" s="3" customFormat="1" ht="15" customHeight="1" x14ac:dyDescent="0.35">
      <c r="A54" s="41" t="s">
        <v>11</v>
      </c>
      <c r="B54" s="46">
        <f>B51-B52-B53</f>
        <v>9645201.1600000039</v>
      </c>
      <c r="C54" s="50">
        <f t="shared" ref="C54:D54" si="6">C51-C52-C53</f>
        <v>4169423.2100000046</v>
      </c>
      <c r="D54" s="46">
        <f t="shared" si="6"/>
        <v>5755091.3099999949</v>
      </c>
      <c r="E54" s="54">
        <f t="shared" si="0"/>
        <v>-0.56772045073656052</v>
      </c>
      <c r="F54" s="34">
        <f t="shared" si="0"/>
        <v>0.38030874299277206</v>
      </c>
      <c r="G54" s="4"/>
    </row>
    <row r="55" spans="1:7" ht="15" customHeight="1" x14ac:dyDescent="0.35">
      <c r="A55" s="40" t="s">
        <v>12</v>
      </c>
      <c r="B55" s="45">
        <f>B15</f>
        <v>22620669.899999999</v>
      </c>
      <c r="C55" s="49">
        <f>C15</f>
        <v>28209503.23</v>
      </c>
      <c r="D55" s="45">
        <f>D15</f>
        <v>28055094.830000002</v>
      </c>
      <c r="E55" s="53">
        <f t="shared" si="0"/>
        <v>0.24706754285822474</v>
      </c>
      <c r="F55" s="30">
        <f t="shared" si="0"/>
        <v>-5.4736305967908461E-3</v>
      </c>
    </row>
    <row r="56" spans="1:7" ht="15" customHeight="1" x14ac:dyDescent="0.35">
      <c r="A56" s="40" t="s">
        <v>13</v>
      </c>
      <c r="B56" s="45">
        <f>B27</f>
        <v>25271372.280000001</v>
      </c>
      <c r="C56" s="49">
        <f>C27</f>
        <v>27041886.98</v>
      </c>
      <c r="D56" s="45">
        <f>D27</f>
        <v>27783133.530000001</v>
      </c>
      <c r="E56" s="53">
        <f t="shared" si="0"/>
        <v>7.0060093309661786E-2</v>
      </c>
      <c r="F56" s="30">
        <f t="shared" si="0"/>
        <v>2.7411051253495078E-2</v>
      </c>
    </row>
    <row r="57" spans="1:7" ht="15" customHeight="1" x14ac:dyDescent="0.35">
      <c r="A57" s="40" t="s">
        <v>14</v>
      </c>
      <c r="B57" s="45">
        <f>B42+B43</f>
        <v>1964913.99</v>
      </c>
      <c r="C57" s="49">
        <f t="shared" ref="C57:D57" si="7">C42+C43</f>
        <v>3309230.5599999996</v>
      </c>
      <c r="D57" s="45">
        <f t="shared" si="7"/>
        <v>2619969.1799999997</v>
      </c>
      <c r="E57" s="53">
        <f t="shared" si="0"/>
        <v>0.68416051635929342</v>
      </c>
      <c r="F57" s="30">
        <f t="shared" si="0"/>
        <v>-0.20828448411282652</v>
      </c>
    </row>
    <row r="58" spans="1:7" s="3" customFormat="1" ht="15" customHeight="1" x14ac:dyDescent="0.35">
      <c r="A58" s="42" t="s">
        <v>15</v>
      </c>
      <c r="B58" s="47">
        <f>+B54+B55-B56-B57</f>
        <v>5029584.790000001</v>
      </c>
      <c r="C58" s="51">
        <f>+C54+C55-C56-C57</f>
        <v>2027808.900000005</v>
      </c>
      <c r="D58" s="47">
        <f t="shared" ref="D58" si="8">+D54+D55-D56-D57</f>
        <v>3407083.4299999997</v>
      </c>
      <c r="E58" s="55">
        <f t="shared" si="0"/>
        <v>-0.59682379666175089</v>
      </c>
      <c r="F58" s="35">
        <f t="shared" si="0"/>
        <v>0.68017973981670132</v>
      </c>
      <c r="G58" s="4"/>
    </row>
    <row r="59" spans="1:7" ht="15" customHeight="1" x14ac:dyDescent="0.35">
      <c r="A59" s="40" t="s">
        <v>16</v>
      </c>
      <c r="B59" s="45">
        <f t="shared" ref="B59:D60" si="9">B20</f>
        <v>5640840.0900000008</v>
      </c>
      <c r="C59" s="49">
        <f t="shared" si="9"/>
        <v>6997094.6399999997</v>
      </c>
      <c r="D59" s="45">
        <f t="shared" si="9"/>
        <v>6269592.1199999992</v>
      </c>
      <c r="E59" s="53">
        <f t="shared" si="0"/>
        <v>0.24043485161090583</v>
      </c>
      <c r="F59" s="30">
        <f t="shared" si="0"/>
        <v>-0.1039720851910616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8078127.8399999999</v>
      </c>
      <c r="C61" s="49">
        <f t="shared" ref="C61:D61" si="10">C48</f>
        <v>7952989.0099999998</v>
      </c>
      <c r="D61" s="45">
        <f t="shared" si="10"/>
        <v>8499249.9299999997</v>
      </c>
      <c r="E61" s="53">
        <f t="shared" si="0"/>
        <v>-1.5491068286931253E-2</v>
      </c>
      <c r="F61" s="30">
        <f t="shared" si="0"/>
        <v>6.8686241023738104E-2</v>
      </c>
    </row>
    <row r="62" spans="1:7" ht="15" customHeight="1" x14ac:dyDescent="0.35">
      <c r="A62" s="40" t="s">
        <v>19</v>
      </c>
      <c r="B62" s="45">
        <f>B44</f>
        <v>334317.83</v>
      </c>
      <c r="C62" s="49">
        <f t="shared" ref="C62:D62" si="11">C44</f>
        <v>673896.86</v>
      </c>
      <c r="D62" s="45">
        <f t="shared" si="11"/>
        <v>734687.98</v>
      </c>
      <c r="E62" s="53">
        <f t="shared" si="0"/>
        <v>1.0157371205717625</v>
      </c>
      <c r="F62" s="30">
        <f t="shared" si="0"/>
        <v>9.0208344345156899E-2</v>
      </c>
    </row>
    <row r="63" spans="1:7" s="3" customFormat="1" ht="15" customHeight="1" thickBot="1" x14ac:dyDescent="0.4">
      <c r="A63" s="43" t="s">
        <v>20</v>
      </c>
      <c r="B63" s="48">
        <f>B58+B59+B60-B61-B62</f>
        <v>2257979.2100000028</v>
      </c>
      <c r="C63" s="52">
        <f t="shared" ref="C63:D63" si="12">C58+C59+C60-C61-C62</f>
        <v>398017.67000000493</v>
      </c>
      <c r="D63" s="48">
        <f t="shared" si="12"/>
        <v>442737.6399999992</v>
      </c>
      <c r="E63" s="56">
        <f t="shared" si="0"/>
        <v>-0.82372837259205567</v>
      </c>
      <c r="F63" s="36">
        <f t="shared" si="0"/>
        <v>0.11235674536759555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7291103.8399999999</v>
      </c>
      <c r="C65" s="26">
        <f t="shared" ref="C65:D65" si="13">C45</f>
        <v>7419302.75</v>
      </c>
      <c r="D65" s="26">
        <f t="shared" si="13"/>
        <v>7675120.4800000004</v>
      </c>
      <c r="E65" s="27">
        <f t="shared" ref="E65:E66" si="14">+IF(ISBLANK(B65),"",+C65/B65-1)</f>
        <v>1.7582921984553801E-2</v>
      </c>
      <c r="F65" s="28">
        <f t="shared" ref="F65:F66" si="15">+IF(ISBLANK(C65),"",+D65/C65-1)</f>
        <v>3.4480023072249066E-2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5093272.4800000004</v>
      </c>
      <c r="C66" s="19">
        <f t="shared" si="16"/>
        <v>5950334.3899999997</v>
      </c>
      <c r="D66" s="19">
        <f t="shared" si="16"/>
        <v>5878063.8499999996</v>
      </c>
      <c r="E66" s="20">
        <f t="shared" si="14"/>
        <v>0.16827332787818938</v>
      </c>
      <c r="F66" s="30">
        <f t="shared" si="15"/>
        <v>-1.2145626659479269E-2</v>
      </c>
    </row>
    <row r="67" spans="1:6" ht="15" customHeight="1" thickBot="1" x14ac:dyDescent="0.4">
      <c r="A67" s="207" t="s">
        <v>85</v>
      </c>
      <c r="B67" s="208">
        <f>B65-B66</f>
        <v>2197831.3599999994</v>
      </c>
      <c r="C67" s="208">
        <f t="shared" ref="C67:D67" si="17">C65-C66</f>
        <v>1468968.3600000003</v>
      </c>
      <c r="D67" s="208">
        <f t="shared" si="17"/>
        <v>1797056.6300000008</v>
      </c>
      <c r="E67" s="209">
        <f>+IF(ISBLANK(B67),"",+C67/B67-1)</f>
        <v>-0.33162826469088114</v>
      </c>
      <c r="F67" s="210">
        <f>+IF(ISBLANK(C67),"",+D67/C67-1)</f>
        <v>0.22334604266085112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2C154-AB70-4DD3-96C6-E4DD90BDE551}">
  <sheetPr>
    <tabColor theme="5" tint="0.79998168889431442"/>
    <pageSetUpPr fitToPage="1"/>
  </sheetPr>
  <dimension ref="A1:G72"/>
  <sheetViews>
    <sheetView tabSelected="1" topLeftCell="A43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59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33225800.530000001</v>
      </c>
      <c r="C6" s="102">
        <v>32544305.57</v>
      </c>
      <c r="D6" s="101">
        <v>32870431.739999998</v>
      </c>
      <c r="E6" s="103">
        <f>+IF(ISBLANK(B6),"",+C6/B6-1)</f>
        <v>-2.0511017014764432E-2</v>
      </c>
      <c r="F6" s="104">
        <f>+IF(ISBLANK(C6),"",+D6/C6-1)</f>
        <v>1.0020990286565779E-2</v>
      </c>
    </row>
    <row r="7" spans="1:6" ht="15" customHeight="1" x14ac:dyDescent="0.35">
      <c r="A7" s="105" t="s">
        <v>2</v>
      </c>
      <c r="B7" s="106">
        <v>11938478.02</v>
      </c>
      <c r="C7" s="107">
        <v>12819902.91</v>
      </c>
      <c r="D7" s="106">
        <v>12622036.77</v>
      </c>
      <c r="E7" s="108">
        <f t="shared" ref="E7:F63" si="0">+IF(ISBLANK(B7),"",+C7/B7-1)</f>
        <v>7.3830591179494531E-2</v>
      </c>
      <c r="F7" s="109">
        <f t="shared" si="0"/>
        <v>-1.543429317593803E-2</v>
      </c>
    </row>
    <row r="8" spans="1:6" ht="15" customHeight="1" x14ac:dyDescent="0.35">
      <c r="A8" s="105" t="s">
        <v>4</v>
      </c>
      <c r="B8" s="106">
        <v>445083.98</v>
      </c>
      <c r="C8" s="107">
        <v>572104.35</v>
      </c>
      <c r="D8" s="106">
        <v>496653.65</v>
      </c>
      <c r="E8" s="108">
        <f t="shared" si="0"/>
        <v>0.28538517607396252</v>
      </c>
      <c r="F8" s="109">
        <f t="shared" si="0"/>
        <v>-0.1318827588009075</v>
      </c>
    </row>
    <row r="9" spans="1:6" ht="15" customHeight="1" x14ac:dyDescent="0.35">
      <c r="A9" s="105" t="s">
        <v>3</v>
      </c>
      <c r="B9" s="106">
        <v>144077.51</v>
      </c>
      <c r="C9" s="107">
        <v>228173.24</v>
      </c>
      <c r="D9" s="106">
        <v>77697.39</v>
      </c>
      <c r="E9" s="108">
        <f t="shared" si="0"/>
        <v>0.5836839490077248</v>
      </c>
      <c r="F9" s="109">
        <f t="shared" si="0"/>
        <v>-0.65948070860544383</v>
      </c>
    </row>
    <row r="10" spans="1:6" ht="15" customHeight="1" x14ac:dyDescent="0.35">
      <c r="A10" s="110" t="s">
        <v>5</v>
      </c>
      <c r="B10" s="111">
        <v>4579824.58</v>
      </c>
      <c r="C10" s="112">
        <v>3668236.92</v>
      </c>
      <c r="D10" s="111">
        <v>4831686.3600000003</v>
      </c>
      <c r="E10" s="113">
        <f t="shared" si="0"/>
        <v>-0.19904423064168986</v>
      </c>
      <c r="F10" s="114">
        <f t="shared" si="0"/>
        <v>0.31716856500097612</v>
      </c>
    </row>
    <row r="11" spans="1:6" s="3" customFormat="1" ht="15" customHeight="1" x14ac:dyDescent="0.35">
      <c r="A11" s="64" t="s">
        <v>62</v>
      </c>
      <c r="B11" s="67">
        <f>SUM(B6:B10)</f>
        <v>50333264.61999999</v>
      </c>
      <c r="C11" s="70">
        <f t="shared" ref="C11:D11" si="1">SUM(C6:C10)</f>
        <v>49832722.99000001</v>
      </c>
      <c r="D11" s="67">
        <f t="shared" si="1"/>
        <v>50898505.909999996</v>
      </c>
      <c r="E11" s="73">
        <f t="shared" si="0"/>
        <v>-9.9445492713200467E-3</v>
      </c>
      <c r="F11" s="38">
        <f t="shared" si="0"/>
        <v>2.1387210171393889E-2</v>
      </c>
    </row>
    <row r="12" spans="1:6" ht="15" customHeight="1" x14ac:dyDescent="0.35">
      <c r="A12" s="115" t="s">
        <v>29</v>
      </c>
      <c r="B12" s="116">
        <v>24312473.460000001</v>
      </c>
      <c r="C12" s="117">
        <v>33396822</v>
      </c>
      <c r="D12" s="116">
        <v>29888417.350000001</v>
      </c>
      <c r="E12" s="118">
        <f t="shared" si="0"/>
        <v>0.37364970515838247</v>
      </c>
      <c r="F12" s="119">
        <f t="shared" si="0"/>
        <v>-0.10505205106042725</v>
      </c>
    </row>
    <row r="13" spans="1:6" ht="15" customHeight="1" x14ac:dyDescent="0.35">
      <c r="A13" s="105" t="s">
        <v>60</v>
      </c>
      <c r="B13" s="106">
        <v>1774325.69</v>
      </c>
      <c r="C13" s="107">
        <v>1959737.47</v>
      </c>
      <c r="D13" s="106">
        <v>2095472.27</v>
      </c>
      <c r="E13" s="108">
        <f t="shared" si="0"/>
        <v>0.10449703853411485</v>
      </c>
      <c r="F13" s="109">
        <f t="shared" si="0"/>
        <v>6.9261726163760029E-2</v>
      </c>
    </row>
    <row r="14" spans="1:6" ht="15" customHeight="1" x14ac:dyDescent="0.35">
      <c r="A14" s="110" t="s">
        <v>61</v>
      </c>
      <c r="B14" s="111">
        <v>754671.37999999896</v>
      </c>
      <c r="C14" s="112">
        <v>1991419.0900000036</v>
      </c>
      <c r="D14" s="111">
        <v>1612421.3099999987</v>
      </c>
      <c r="E14" s="113">
        <f t="shared" si="0"/>
        <v>1.6387897338839141</v>
      </c>
      <c r="F14" s="114">
        <f t="shared" si="0"/>
        <v>-0.1903154297873102</v>
      </c>
    </row>
    <row r="15" spans="1:6" s="3" customFormat="1" ht="15" customHeight="1" x14ac:dyDescent="0.35">
      <c r="A15" s="64" t="s">
        <v>63</v>
      </c>
      <c r="B15" s="67">
        <f>SUM(B12:B14)</f>
        <v>26841470.530000001</v>
      </c>
      <c r="C15" s="70">
        <f t="shared" ref="C15:D15" si="2">SUM(C12:C14)</f>
        <v>37347978.560000002</v>
      </c>
      <c r="D15" s="67">
        <f t="shared" si="2"/>
        <v>33596310.93</v>
      </c>
      <c r="E15" s="73">
        <f t="shared" si="0"/>
        <v>0.39142818267937884</v>
      </c>
      <c r="F15" s="38">
        <f t="shared" si="0"/>
        <v>-0.10045169175549629</v>
      </c>
    </row>
    <row r="16" spans="1:6" s="11" customFormat="1" ht="15" customHeight="1" x14ac:dyDescent="0.35">
      <c r="A16" s="120" t="s">
        <v>74</v>
      </c>
      <c r="B16" s="121">
        <v>6614114.9299999997</v>
      </c>
      <c r="C16" s="122">
        <v>5489461.9699999997</v>
      </c>
      <c r="D16" s="121">
        <v>5404692.29</v>
      </c>
      <c r="E16" s="123">
        <f t="shared" si="0"/>
        <v>-0.17003831531545521</v>
      </c>
      <c r="F16" s="124">
        <f t="shared" si="0"/>
        <v>-1.5442256538667598E-2</v>
      </c>
    </row>
    <row r="17" spans="1:6" s="11" customFormat="1" ht="15" customHeight="1" x14ac:dyDescent="0.35">
      <c r="A17" s="125" t="s">
        <v>71</v>
      </c>
      <c r="B17" s="126">
        <v>0</v>
      </c>
      <c r="C17" s="127">
        <v>1411913</v>
      </c>
      <c r="D17" s="126">
        <v>505858</v>
      </c>
      <c r="E17" s="128" t="e">
        <f t="shared" si="0"/>
        <v>#DIV/0!</v>
      </c>
      <c r="F17" s="129">
        <f t="shared" si="0"/>
        <v>-0.64172155083209803</v>
      </c>
    </row>
    <row r="18" spans="1:6" s="11" customFormat="1" ht="15" customHeight="1" x14ac:dyDescent="0.35">
      <c r="A18" s="125" t="s">
        <v>72</v>
      </c>
      <c r="B18" s="126">
        <v>0</v>
      </c>
      <c r="C18" s="127">
        <v>0</v>
      </c>
      <c r="D18" s="126">
        <v>683808</v>
      </c>
      <c r="E18" s="128" t="e">
        <f t="shared" si="0"/>
        <v>#DIV/0!</v>
      </c>
      <c r="F18" s="129" t="e">
        <f t="shared" si="0"/>
        <v>#DIV/0!</v>
      </c>
    </row>
    <row r="19" spans="1:6" s="11" customFormat="1" ht="15" customHeight="1" x14ac:dyDescent="0.35">
      <c r="A19" s="130" t="s">
        <v>73</v>
      </c>
      <c r="B19" s="131">
        <v>0</v>
      </c>
      <c r="C19" s="132">
        <v>298606.95</v>
      </c>
      <c r="D19" s="131">
        <v>282495</v>
      </c>
      <c r="E19" s="133" t="e">
        <f t="shared" si="0"/>
        <v>#DIV/0!</v>
      </c>
      <c r="F19" s="134">
        <f t="shared" si="0"/>
        <v>-5.395704955963021E-2</v>
      </c>
    </row>
    <row r="20" spans="1:6" ht="15" customHeight="1" x14ac:dyDescent="0.35">
      <c r="A20" s="65" t="s">
        <v>84</v>
      </c>
      <c r="B20" s="68">
        <f>SUM(B16:B19)</f>
        <v>6614114.9299999997</v>
      </c>
      <c r="C20" s="71">
        <f t="shared" ref="C20:D20" si="3">SUM(C16:C19)</f>
        <v>7199981.9199999999</v>
      </c>
      <c r="D20" s="68">
        <f t="shared" si="3"/>
        <v>6876853.29</v>
      </c>
      <c r="E20" s="74">
        <f t="shared" si="0"/>
        <v>8.8578289945137056E-2</v>
      </c>
      <c r="F20" s="32">
        <f t="shared" si="0"/>
        <v>-4.4879089085268165E-2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83788850.079999983</v>
      </c>
      <c r="C22" s="87">
        <f>C11+C15+C20+C21</f>
        <v>94380683.470000014</v>
      </c>
      <c r="D22" s="86">
        <f>D11+D15+D20+D21</f>
        <v>91371670.13000001</v>
      </c>
      <c r="E22" s="88">
        <f t="shared" si="0"/>
        <v>0.1264110126811282</v>
      </c>
      <c r="F22" s="89">
        <f t="shared" si="0"/>
        <v>-3.1881665075634391E-2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17211719.73</v>
      </c>
      <c r="C24" s="155">
        <v>18674335.140000001</v>
      </c>
      <c r="D24" s="155">
        <v>19077419.48</v>
      </c>
      <c r="E24" s="156">
        <f t="shared" si="0"/>
        <v>8.4977877454666118E-2</v>
      </c>
      <c r="F24" s="104">
        <f t="shared" si="0"/>
        <v>2.1584936597641047E-2</v>
      </c>
    </row>
    <row r="25" spans="1:6" ht="15" customHeight="1" x14ac:dyDescent="0.35">
      <c r="A25" s="157" t="s">
        <v>40</v>
      </c>
      <c r="B25" s="158">
        <v>10732106.780000001</v>
      </c>
      <c r="C25" s="158">
        <v>12391050.24</v>
      </c>
      <c r="D25" s="158">
        <v>12289509.919999998</v>
      </c>
      <c r="E25" s="159">
        <f t="shared" si="0"/>
        <v>0.15457761407029147</v>
      </c>
      <c r="F25" s="109">
        <f t="shared" si="0"/>
        <v>-8.1946500121689025E-3</v>
      </c>
    </row>
    <row r="26" spans="1:6" ht="15" customHeight="1" x14ac:dyDescent="0.35">
      <c r="A26" s="160" t="s">
        <v>41</v>
      </c>
      <c r="B26" s="161">
        <v>487277.21000000008</v>
      </c>
      <c r="C26" s="161">
        <v>451250.10000000003</v>
      </c>
      <c r="D26" s="161">
        <v>429543.47000000003</v>
      </c>
      <c r="E26" s="162">
        <f t="shared" si="0"/>
        <v>-7.3935553029455314E-2</v>
      </c>
      <c r="F26" s="114">
        <f t="shared" si="0"/>
        <v>-4.8103324520038848E-2</v>
      </c>
    </row>
    <row r="27" spans="1:6" ht="15" customHeight="1" x14ac:dyDescent="0.35">
      <c r="A27" s="31" t="s">
        <v>65</v>
      </c>
      <c r="B27" s="23">
        <f>B24+B25+B26</f>
        <v>28431103.720000003</v>
      </c>
      <c r="C27" s="23">
        <f t="shared" ref="C27:D27" si="4">C24+C25+C26</f>
        <v>31516635.480000004</v>
      </c>
      <c r="D27" s="23">
        <f t="shared" si="4"/>
        <v>31796472.869999997</v>
      </c>
      <c r="E27" s="24">
        <f t="shared" si="0"/>
        <v>0.10852662599339991</v>
      </c>
      <c r="F27" s="32">
        <f t="shared" si="0"/>
        <v>8.8790375539158362E-3</v>
      </c>
    </row>
    <row r="28" spans="1:6" ht="15" customHeight="1" x14ac:dyDescent="0.35">
      <c r="A28" s="33" t="s">
        <v>66</v>
      </c>
      <c r="B28" s="23">
        <v>7281578.7199999997</v>
      </c>
      <c r="C28" s="23">
        <v>9412503.3500000015</v>
      </c>
      <c r="D28" s="23">
        <v>8577973.4100000001</v>
      </c>
      <c r="E28" s="24">
        <f t="shared" si="0"/>
        <v>0.29264596483000083</v>
      </c>
      <c r="F28" s="32">
        <f t="shared" si="0"/>
        <v>-8.8661847860059595E-2</v>
      </c>
    </row>
    <row r="29" spans="1:6" s="6" customFormat="1" ht="15" customHeight="1" x14ac:dyDescent="0.35">
      <c r="A29" s="182" t="s">
        <v>26</v>
      </c>
      <c r="B29" s="183">
        <v>6850419.8499999996</v>
      </c>
      <c r="C29" s="183">
        <v>8940931.7100000009</v>
      </c>
      <c r="D29" s="183">
        <v>8097401.1699999999</v>
      </c>
      <c r="E29" s="184">
        <f t="shared" si="0"/>
        <v>0.30516550894322214</v>
      </c>
      <c r="F29" s="185">
        <f t="shared" si="0"/>
        <v>-9.4344814093206053E-2</v>
      </c>
    </row>
    <row r="30" spans="1:6" s="163" customFormat="1" ht="15" customHeight="1" x14ac:dyDescent="0.35">
      <c r="A30" s="171" t="s">
        <v>76</v>
      </c>
      <c r="B30" s="172">
        <f>SUM(B31:B36)</f>
        <v>7186080.1899999995</v>
      </c>
      <c r="C30" s="172">
        <f t="shared" ref="C30:D30" si="5">SUM(C31:C36)</f>
        <v>11912486.469999999</v>
      </c>
      <c r="D30" s="172">
        <f t="shared" si="5"/>
        <v>11217827.779999999</v>
      </c>
      <c r="E30" s="169">
        <f t="shared" si="0"/>
        <v>0.65771688528847316</v>
      </c>
      <c r="F30" s="170">
        <f t="shared" si="0"/>
        <v>-5.8313492464348582E-2</v>
      </c>
    </row>
    <row r="31" spans="1:6" s="9" customFormat="1" ht="15" customHeight="1" x14ac:dyDescent="0.35">
      <c r="A31" s="165" t="s">
        <v>21</v>
      </c>
      <c r="B31" s="166">
        <v>2530828.25</v>
      </c>
      <c r="C31" s="166">
        <v>5592972.1399999997</v>
      </c>
      <c r="D31" s="166">
        <v>4276728.18</v>
      </c>
      <c r="E31" s="167">
        <f t="shared" si="0"/>
        <v>1.2099374542701584</v>
      </c>
      <c r="F31" s="168">
        <f t="shared" si="0"/>
        <v>-0.23533890873270114</v>
      </c>
    </row>
    <row r="32" spans="1:6" s="9" customFormat="1" ht="15" customHeight="1" x14ac:dyDescent="0.35">
      <c r="A32" s="165" t="s">
        <v>22</v>
      </c>
      <c r="B32" s="166">
        <v>74792.899999999994</v>
      </c>
      <c r="C32" s="166">
        <v>86832.07</v>
      </c>
      <c r="D32" s="166">
        <v>84109.22</v>
      </c>
      <c r="E32" s="167">
        <f t="shared" si="0"/>
        <v>0.16096674951766832</v>
      </c>
      <c r="F32" s="168">
        <f t="shared" si="0"/>
        <v>-3.1357653917498562E-2</v>
      </c>
    </row>
    <row r="33" spans="1:6" s="9" customFormat="1" ht="15" customHeight="1" x14ac:dyDescent="0.35">
      <c r="A33" s="165" t="s">
        <v>23</v>
      </c>
      <c r="B33" s="166">
        <v>1130960.7</v>
      </c>
      <c r="C33" s="166">
        <v>2037842.75</v>
      </c>
      <c r="D33" s="166">
        <v>3108880.69</v>
      </c>
      <c r="E33" s="167">
        <f t="shared" si="0"/>
        <v>0.80186875635908494</v>
      </c>
      <c r="F33" s="168">
        <f t="shared" si="0"/>
        <v>0.52557438006440882</v>
      </c>
    </row>
    <row r="34" spans="1:6" s="9" customFormat="1" ht="15" customHeight="1" x14ac:dyDescent="0.35">
      <c r="A34" s="165" t="s">
        <v>24</v>
      </c>
      <c r="B34" s="166">
        <v>1514954.45</v>
      </c>
      <c r="C34" s="166">
        <v>1952913.46</v>
      </c>
      <c r="D34" s="166">
        <v>1517943.42</v>
      </c>
      <c r="E34" s="167">
        <f t="shared" si="0"/>
        <v>0.28909054658376032</v>
      </c>
      <c r="F34" s="168">
        <f t="shared" si="0"/>
        <v>-0.22272878389603601</v>
      </c>
    </row>
    <row r="35" spans="1:6" s="9" customFormat="1" ht="15" customHeight="1" x14ac:dyDescent="0.35">
      <c r="A35" s="165" t="s">
        <v>25</v>
      </c>
      <c r="B35" s="166">
        <v>1934543.89</v>
      </c>
      <c r="C35" s="166">
        <v>2241926.0499999998</v>
      </c>
      <c r="D35" s="166">
        <v>2230166.27</v>
      </c>
      <c r="E35" s="167">
        <f t="shared" si="0"/>
        <v>0.15889128263716978</v>
      </c>
      <c r="F35" s="168">
        <f t="shared" si="0"/>
        <v>-5.2453915685576336E-3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14039529.41</v>
      </c>
      <c r="C37" s="172">
        <v>15104656.870000001</v>
      </c>
      <c r="D37" s="172">
        <v>15896887.529999997</v>
      </c>
      <c r="E37" s="169">
        <f t="shared" si="0"/>
        <v>7.5866322074964909E-2</v>
      </c>
      <c r="F37" s="170">
        <f t="shared" si="0"/>
        <v>5.2449431113756662E-2</v>
      </c>
    </row>
    <row r="38" spans="1:6" s="7" customFormat="1" ht="15" customHeight="1" x14ac:dyDescent="0.35">
      <c r="A38" s="173" t="s">
        <v>70</v>
      </c>
      <c r="B38" s="174">
        <v>13528674.93</v>
      </c>
      <c r="C38" s="174">
        <v>14734440.060000001</v>
      </c>
      <c r="D38" s="174">
        <v>15232291.319999998</v>
      </c>
      <c r="E38" s="169">
        <f t="shared" si="0"/>
        <v>8.9126624465357018E-2</v>
      </c>
      <c r="F38" s="170">
        <f t="shared" si="0"/>
        <v>3.3788271422103611E-2</v>
      </c>
    </row>
    <row r="39" spans="1:6" s="10" customFormat="1" ht="15" customHeight="1" x14ac:dyDescent="0.35">
      <c r="A39" s="171" t="s">
        <v>78</v>
      </c>
      <c r="B39" s="172">
        <v>7114393.0499999998</v>
      </c>
      <c r="C39" s="172">
        <v>5458192.9399999995</v>
      </c>
      <c r="D39" s="172">
        <v>7841345.1900000004</v>
      </c>
      <c r="E39" s="169">
        <f t="shared" si="0"/>
        <v>-0.23279569997893224</v>
      </c>
      <c r="F39" s="170">
        <f t="shared" si="0"/>
        <v>0.43661927604926354</v>
      </c>
    </row>
    <row r="40" spans="1:6" s="10" customFormat="1" ht="15" customHeight="1" x14ac:dyDescent="0.35">
      <c r="A40" s="175" t="s">
        <v>79</v>
      </c>
      <c r="B40" s="176">
        <v>7235364.9200000009</v>
      </c>
      <c r="C40" s="176">
        <v>6216550.5</v>
      </c>
      <c r="D40" s="176">
        <v>7498686.2999999989</v>
      </c>
      <c r="E40" s="177">
        <f t="shared" si="0"/>
        <v>-0.14081037117890116</v>
      </c>
      <c r="F40" s="178">
        <f t="shared" si="0"/>
        <v>0.2062455376176866</v>
      </c>
    </row>
    <row r="41" spans="1:6" ht="15" customHeight="1" x14ac:dyDescent="0.35">
      <c r="A41" s="31" t="s">
        <v>75</v>
      </c>
      <c r="B41" s="23">
        <f>+B30+B37+B39+B40</f>
        <v>35575367.57</v>
      </c>
      <c r="C41" s="23">
        <f>+C30+C37+C39+C40</f>
        <v>38691886.780000001</v>
      </c>
      <c r="D41" s="23">
        <f>+D30+D37+D39+D40</f>
        <v>42454746.79999999</v>
      </c>
      <c r="E41" s="24">
        <f t="shared" si="0"/>
        <v>8.76032890979348E-2</v>
      </c>
      <c r="F41" s="32">
        <f t="shared" si="0"/>
        <v>9.7251913337682572E-2</v>
      </c>
    </row>
    <row r="42" spans="1:6" ht="15" customHeight="1" x14ac:dyDescent="0.35">
      <c r="A42" s="33" t="s">
        <v>67</v>
      </c>
      <c r="B42" s="23">
        <v>1963058.9</v>
      </c>
      <c r="C42" s="23">
        <v>3731000.9299999997</v>
      </c>
      <c r="D42" s="23">
        <v>5535220.540000001</v>
      </c>
      <c r="E42" s="24">
        <f t="shared" si="0"/>
        <v>0.90060569756719988</v>
      </c>
      <c r="F42" s="32">
        <f t="shared" si="0"/>
        <v>0.48357522387430807</v>
      </c>
    </row>
    <row r="43" spans="1:6" ht="15" customHeight="1" x14ac:dyDescent="0.35">
      <c r="A43" s="33" t="s">
        <v>68</v>
      </c>
      <c r="B43" s="23">
        <v>218244.06</v>
      </c>
      <c r="C43" s="23">
        <v>534793.76</v>
      </c>
      <c r="D43" s="23">
        <v>914061.59</v>
      </c>
      <c r="E43" s="24">
        <f t="shared" si="0"/>
        <v>1.4504390176758992</v>
      </c>
      <c r="F43" s="32">
        <f t="shared" si="0"/>
        <v>0.70918521936381596</v>
      </c>
    </row>
    <row r="44" spans="1:6" ht="15" customHeight="1" x14ac:dyDescent="0.35">
      <c r="A44" s="33" t="s">
        <v>69</v>
      </c>
      <c r="B44" s="23">
        <v>4457</v>
      </c>
      <c r="C44" s="23">
        <v>12339.740000000002</v>
      </c>
      <c r="D44" s="23">
        <v>155824</v>
      </c>
      <c r="E44" s="24">
        <f t="shared" si="0"/>
        <v>1.7686201480816695</v>
      </c>
      <c r="F44" s="32">
        <f t="shared" si="0"/>
        <v>11.627818738482333</v>
      </c>
    </row>
    <row r="45" spans="1:6" ht="15" customHeight="1" x14ac:dyDescent="0.35">
      <c r="A45" s="186" t="s">
        <v>80</v>
      </c>
      <c r="B45" s="187">
        <v>6906276.8399999999</v>
      </c>
      <c r="C45" s="187">
        <v>6841022.4100000001</v>
      </c>
      <c r="D45" s="187">
        <v>6806714.9900000002</v>
      </c>
      <c r="E45" s="188">
        <f t="shared" si="0"/>
        <v>-9.4485685285676801E-3</v>
      </c>
      <c r="F45" s="189">
        <f t="shared" si="0"/>
        <v>-5.0149550672207166E-3</v>
      </c>
    </row>
    <row r="46" spans="1:6" ht="15" customHeight="1" x14ac:dyDescent="0.35">
      <c r="A46" s="171" t="s">
        <v>81</v>
      </c>
      <c r="B46" s="190">
        <v>140695</v>
      </c>
      <c r="C46" s="190">
        <v>783982</v>
      </c>
      <c r="D46" s="190">
        <v>1114186</v>
      </c>
      <c r="E46" s="191">
        <f t="shared" si="0"/>
        <v>4.5722093891040902</v>
      </c>
      <c r="F46" s="192">
        <f t="shared" si="0"/>
        <v>0.4211882415667707</v>
      </c>
    </row>
    <row r="47" spans="1:6" ht="15" customHeight="1" x14ac:dyDescent="0.35">
      <c r="A47" s="175" t="s">
        <v>82</v>
      </c>
      <c r="B47" s="193">
        <v>1197834.93</v>
      </c>
      <c r="C47" s="193"/>
      <c r="D47" s="193"/>
      <c r="E47" s="194">
        <f t="shared" si="0"/>
        <v>-1</v>
      </c>
      <c r="F47" s="195" t="str">
        <f t="shared" si="0"/>
        <v/>
      </c>
    </row>
    <row r="48" spans="1:6" ht="15" customHeight="1" thickBot="1" x14ac:dyDescent="0.4">
      <c r="A48" s="90" t="s">
        <v>83</v>
      </c>
      <c r="B48" s="91">
        <v>9246355.6399999987</v>
      </c>
      <c r="C48" s="91">
        <v>7625004.4100000001</v>
      </c>
      <c r="D48" s="91">
        <v>7920900.9900000002</v>
      </c>
      <c r="E48" s="92">
        <f t="shared" si="0"/>
        <v>-0.17535029941807412</v>
      </c>
      <c r="F48" s="79">
        <f t="shared" si="0"/>
        <v>3.8806086408545548E-2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82720165.610000014</v>
      </c>
      <c r="C49" s="97">
        <f>C27+C28+C41+C42+C43+C44+C48</f>
        <v>91524164.450000018</v>
      </c>
      <c r="D49" s="97">
        <f>D27+D28+D41+D42+D43+D44+D48</f>
        <v>97355200.199999988</v>
      </c>
      <c r="E49" s="98">
        <f t="shared" si="0"/>
        <v>0.1064311075186688</v>
      </c>
      <c r="F49" s="99">
        <f t="shared" si="0"/>
        <v>6.3710341252942948E-2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50333264.61999999</v>
      </c>
      <c r="C51" s="58">
        <f>+C11</f>
        <v>49832722.99000001</v>
      </c>
      <c r="D51" s="44">
        <f>+D11</f>
        <v>50898505.909999996</v>
      </c>
      <c r="E51" s="59">
        <f t="shared" si="0"/>
        <v>-9.9445492713200467E-3</v>
      </c>
      <c r="F51" s="28">
        <f t="shared" si="0"/>
        <v>2.1387210171393889E-2</v>
      </c>
    </row>
    <row r="52" spans="1:7" ht="15" customHeight="1" x14ac:dyDescent="0.35">
      <c r="A52" s="40" t="s">
        <v>9</v>
      </c>
      <c r="B52" s="45">
        <f>+B28</f>
        <v>7281578.7199999997</v>
      </c>
      <c r="C52" s="49">
        <f>+C28</f>
        <v>9412503.3500000015</v>
      </c>
      <c r="D52" s="45">
        <f>+D28</f>
        <v>8577973.4100000001</v>
      </c>
      <c r="E52" s="53">
        <f t="shared" si="0"/>
        <v>0.29264596483000083</v>
      </c>
      <c r="F52" s="30">
        <f t="shared" si="0"/>
        <v>-8.8661847860059595E-2</v>
      </c>
    </row>
    <row r="53" spans="1:7" ht="15" customHeight="1" x14ac:dyDescent="0.35">
      <c r="A53" s="40" t="s">
        <v>10</v>
      </c>
      <c r="B53" s="45">
        <f>+B41</f>
        <v>35575367.57</v>
      </c>
      <c r="C53" s="49">
        <f>+C41</f>
        <v>38691886.780000001</v>
      </c>
      <c r="D53" s="45">
        <f>+D41</f>
        <v>42454746.79999999</v>
      </c>
      <c r="E53" s="53">
        <f t="shared" si="0"/>
        <v>8.76032890979348E-2</v>
      </c>
      <c r="F53" s="30">
        <f t="shared" si="0"/>
        <v>9.7251913337682572E-2</v>
      </c>
    </row>
    <row r="54" spans="1:7" s="3" customFormat="1" ht="15" customHeight="1" x14ac:dyDescent="0.35">
      <c r="A54" s="41" t="s">
        <v>11</v>
      </c>
      <c r="B54" s="46">
        <f>B51-B52-B53</f>
        <v>7476318.3299999908</v>
      </c>
      <c r="C54" s="50">
        <f t="shared" ref="C54:D54" si="6">C51-C52-C53</f>
        <v>1728332.8600000069</v>
      </c>
      <c r="D54" s="46">
        <f t="shared" si="6"/>
        <v>-134214.29999998957</v>
      </c>
      <c r="E54" s="54">
        <f t="shared" si="0"/>
        <v>-0.76882567278271452</v>
      </c>
      <c r="F54" s="34">
        <f t="shared" si="0"/>
        <v>-1.0776553539576799</v>
      </c>
      <c r="G54" s="4"/>
    </row>
    <row r="55" spans="1:7" ht="15" customHeight="1" x14ac:dyDescent="0.35">
      <c r="A55" s="40" t="s">
        <v>12</v>
      </c>
      <c r="B55" s="45">
        <f>B15</f>
        <v>26841470.530000001</v>
      </c>
      <c r="C55" s="49">
        <f>C15</f>
        <v>37347978.560000002</v>
      </c>
      <c r="D55" s="45">
        <f>D15</f>
        <v>33596310.93</v>
      </c>
      <c r="E55" s="53">
        <f t="shared" si="0"/>
        <v>0.39142818267937884</v>
      </c>
      <c r="F55" s="30">
        <f t="shared" si="0"/>
        <v>-0.10045169175549629</v>
      </c>
    </row>
    <row r="56" spans="1:7" ht="15" customHeight="1" x14ac:dyDescent="0.35">
      <c r="A56" s="40" t="s">
        <v>13</v>
      </c>
      <c r="B56" s="45">
        <f>B27</f>
        <v>28431103.720000003</v>
      </c>
      <c r="C56" s="49">
        <f>C27</f>
        <v>31516635.480000004</v>
      </c>
      <c r="D56" s="45">
        <f>D27</f>
        <v>31796472.869999997</v>
      </c>
      <c r="E56" s="53">
        <f t="shared" si="0"/>
        <v>0.10852662599339991</v>
      </c>
      <c r="F56" s="30">
        <f t="shared" si="0"/>
        <v>8.8790375539158362E-3</v>
      </c>
    </row>
    <row r="57" spans="1:7" ht="15" customHeight="1" x14ac:dyDescent="0.35">
      <c r="A57" s="40" t="s">
        <v>14</v>
      </c>
      <c r="B57" s="45">
        <f>B42+B43</f>
        <v>2181302.96</v>
      </c>
      <c r="C57" s="49">
        <f t="shared" ref="C57:D57" si="7">C42+C43</f>
        <v>4265794.6899999995</v>
      </c>
      <c r="D57" s="45">
        <f t="shared" si="7"/>
        <v>6449282.1300000008</v>
      </c>
      <c r="E57" s="53">
        <f t="shared" si="0"/>
        <v>0.95561770566707493</v>
      </c>
      <c r="F57" s="30">
        <f t="shared" si="0"/>
        <v>0.511859477231428</v>
      </c>
    </row>
    <row r="58" spans="1:7" s="3" customFormat="1" ht="15" customHeight="1" x14ac:dyDescent="0.35">
      <c r="A58" s="42" t="s">
        <v>15</v>
      </c>
      <c r="B58" s="47">
        <f>+B54+B55-B56-B57</f>
        <v>3705382.1799999895</v>
      </c>
      <c r="C58" s="51">
        <f>+C54+C55-C56-C57</f>
        <v>3293881.2500000056</v>
      </c>
      <c r="D58" s="47">
        <f t="shared" ref="D58" si="8">+D54+D55-D56-D57</f>
        <v>-4783658.369999988</v>
      </c>
      <c r="E58" s="55">
        <f t="shared" si="0"/>
        <v>-0.11105492227524694</v>
      </c>
      <c r="F58" s="35">
        <f t="shared" si="0"/>
        <v>-2.4522862261655547</v>
      </c>
      <c r="G58" s="4"/>
    </row>
    <row r="59" spans="1:7" ht="15" customHeight="1" x14ac:dyDescent="0.35">
      <c r="A59" s="40" t="s">
        <v>16</v>
      </c>
      <c r="B59" s="45">
        <f t="shared" ref="B59:D60" si="9">B20</f>
        <v>6614114.9299999997</v>
      </c>
      <c r="C59" s="49">
        <f t="shared" si="9"/>
        <v>7199981.9199999999</v>
      </c>
      <c r="D59" s="45">
        <f t="shared" si="9"/>
        <v>6876853.29</v>
      </c>
      <c r="E59" s="53">
        <f t="shared" si="0"/>
        <v>8.8578289945137056E-2</v>
      </c>
      <c r="F59" s="30">
        <f t="shared" si="0"/>
        <v>-4.4879089085268165E-2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9246355.6399999987</v>
      </c>
      <c r="C61" s="49">
        <f t="shared" ref="C61:D61" si="10">C48</f>
        <v>7625004.4100000001</v>
      </c>
      <c r="D61" s="45">
        <f t="shared" si="10"/>
        <v>7920900.9900000002</v>
      </c>
      <c r="E61" s="53">
        <f t="shared" si="0"/>
        <v>-0.17535029941807412</v>
      </c>
      <c r="F61" s="30">
        <f t="shared" si="0"/>
        <v>3.8806086408545548E-2</v>
      </c>
    </row>
    <row r="62" spans="1:7" ht="15" customHeight="1" x14ac:dyDescent="0.35">
      <c r="A62" s="40" t="s">
        <v>19</v>
      </c>
      <c r="B62" s="45">
        <f>B44</f>
        <v>4457</v>
      </c>
      <c r="C62" s="49">
        <f t="shared" ref="C62:D62" si="11">C44</f>
        <v>12339.740000000002</v>
      </c>
      <c r="D62" s="45">
        <f t="shared" si="11"/>
        <v>155824</v>
      </c>
      <c r="E62" s="53">
        <f t="shared" si="0"/>
        <v>1.7686201480816695</v>
      </c>
      <c r="F62" s="30">
        <f t="shared" si="0"/>
        <v>11.627818738482333</v>
      </c>
    </row>
    <row r="63" spans="1:7" s="3" customFormat="1" ht="15" customHeight="1" thickBot="1" x14ac:dyDescent="0.4">
      <c r="A63" s="43" t="s">
        <v>20</v>
      </c>
      <c r="B63" s="48">
        <f>B58+B59+B60-B61-B62</f>
        <v>1068684.4699999895</v>
      </c>
      <c r="C63" s="52">
        <f t="shared" ref="C63:D63" si="12">C58+C59+C60-C61-C62</f>
        <v>2856519.0200000051</v>
      </c>
      <c r="D63" s="48">
        <f t="shared" si="12"/>
        <v>-5983530.0699999882</v>
      </c>
      <c r="E63" s="56">
        <f t="shared" si="0"/>
        <v>1.6729302242036259</v>
      </c>
      <c r="F63" s="36">
        <f t="shared" si="0"/>
        <v>-3.0946928860288061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6906276.8399999999</v>
      </c>
      <c r="C65" s="26">
        <f t="shared" ref="C65:D65" si="13">C45</f>
        <v>6841022.4100000001</v>
      </c>
      <c r="D65" s="26">
        <f t="shared" si="13"/>
        <v>6806714.9900000002</v>
      </c>
      <c r="E65" s="27">
        <f t="shared" ref="E65:E66" si="14">+IF(ISBLANK(B65),"",+C65/B65-1)</f>
        <v>-9.4485685285676801E-3</v>
      </c>
      <c r="F65" s="28">
        <f t="shared" ref="F65:F66" si="15">+IF(ISBLANK(C65),"",+D65/C65-1)</f>
        <v>-5.0149550672207166E-3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6614114.9299999997</v>
      </c>
      <c r="C66" s="19">
        <f t="shared" si="16"/>
        <v>5489461.9699999997</v>
      </c>
      <c r="D66" s="19">
        <f t="shared" si="16"/>
        <v>5404692.29</v>
      </c>
      <c r="E66" s="20">
        <f t="shared" si="14"/>
        <v>-0.17003831531545521</v>
      </c>
      <c r="F66" s="30">
        <f t="shared" si="15"/>
        <v>-1.5442256538667598E-2</v>
      </c>
    </row>
    <row r="67" spans="1:6" ht="15" customHeight="1" thickBot="1" x14ac:dyDescent="0.4">
      <c r="A67" s="207" t="s">
        <v>85</v>
      </c>
      <c r="B67" s="208">
        <f>B65-B66</f>
        <v>292161.91000000015</v>
      </c>
      <c r="C67" s="208">
        <f t="shared" ref="C67:D67" si="17">C65-C66</f>
        <v>1351560.4400000004</v>
      </c>
      <c r="D67" s="208">
        <f t="shared" si="17"/>
        <v>1402022.7000000002</v>
      </c>
      <c r="E67" s="209">
        <f>+IF(ISBLANK(B67),"",+C67/B67-1)</f>
        <v>3.626066553302584</v>
      </c>
      <c r="F67" s="210">
        <f>+IF(ISBLANK(C67),"",+D67/C67-1)</f>
        <v>3.7336295519273754E-2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8E515-FDB4-446F-9DAD-29C0C4F1CE46}">
  <sheetPr>
    <tabColor theme="5" tint="0.79998168889431442"/>
    <pageSetUpPr fitToPage="1"/>
  </sheetPr>
  <dimension ref="A1:J72"/>
  <sheetViews>
    <sheetView topLeftCell="B8" zoomScale="120" zoomScaleNormal="12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7.269531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8" width="13.453125" style="1" bestFit="1" customWidth="1"/>
    <col min="9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30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5825609.9400000004</v>
      </c>
      <c r="C6" s="102">
        <v>5979772.1299999999</v>
      </c>
      <c r="D6" s="101">
        <v>6321840.3300000001</v>
      </c>
      <c r="E6" s="103">
        <f>+IF(ISBLANK(B6),"",+C6/B6-1)</f>
        <v>2.6462841073770837E-2</v>
      </c>
      <c r="F6" s="104">
        <f>+IF(ISBLANK(C6),"",+D6/C6-1)</f>
        <v>5.7204219920667709E-2</v>
      </c>
    </row>
    <row r="7" spans="1:6" ht="15" customHeight="1" x14ac:dyDescent="0.35">
      <c r="A7" s="105" t="s">
        <v>2</v>
      </c>
      <c r="B7" s="106">
        <v>954655.38</v>
      </c>
      <c r="C7" s="107">
        <v>1132489.22</v>
      </c>
      <c r="D7" s="106">
        <v>1295113.52</v>
      </c>
      <c r="E7" s="108">
        <f t="shared" ref="E7:F63" si="0">+IF(ISBLANK(B7),"",+C7/B7-1)</f>
        <v>0.18628066601373994</v>
      </c>
      <c r="F7" s="109">
        <f t="shared" si="0"/>
        <v>0.14359898277883842</v>
      </c>
    </row>
    <row r="8" spans="1:6" ht="15" customHeight="1" x14ac:dyDescent="0.35">
      <c r="A8" s="105" t="s">
        <v>4</v>
      </c>
      <c r="B8" s="106">
        <v>3300</v>
      </c>
      <c r="C8" s="107">
        <v>55583.4</v>
      </c>
      <c r="D8" s="106">
        <v>243065.31</v>
      </c>
      <c r="E8" s="108">
        <f t="shared" si="0"/>
        <v>15.843454545454545</v>
      </c>
      <c r="F8" s="109">
        <f t="shared" si="0"/>
        <v>3.3729838404991419</v>
      </c>
    </row>
    <row r="9" spans="1:6" ht="15" customHeight="1" x14ac:dyDescent="0.35">
      <c r="A9" s="105" t="s">
        <v>3</v>
      </c>
      <c r="B9" s="106">
        <v>262591.69</v>
      </c>
      <c r="C9" s="107">
        <v>217885.15</v>
      </c>
      <c r="D9" s="106">
        <v>99663.78</v>
      </c>
      <c r="E9" s="108">
        <f t="shared" si="0"/>
        <v>-0.17025116065173274</v>
      </c>
      <c r="F9" s="109">
        <f t="shared" si="0"/>
        <v>-0.54258571545605561</v>
      </c>
    </row>
    <row r="10" spans="1:6" ht="15" customHeight="1" x14ac:dyDescent="0.35">
      <c r="A10" s="110" t="s">
        <v>5</v>
      </c>
      <c r="B10" s="111">
        <f>202110.94+86.85</f>
        <v>202197.79</v>
      </c>
      <c r="C10" s="112">
        <v>45954.01</v>
      </c>
      <c r="D10" s="111">
        <v>48930.81</v>
      </c>
      <c r="E10" s="113">
        <f t="shared" si="0"/>
        <v>-0.77272743683301381</v>
      </c>
      <c r="F10" s="114">
        <f t="shared" si="0"/>
        <v>6.4777807203332038E-2</v>
      </c>
    </row>
    <row r="11" spans="1:6" s="3" customFormat="1" ht="15" customHeight="1" x14ac:dyDescent="0.35">
      <c r="A11" s="64" t="s">
        <v>62</v>
      </c>
      <c r="B11" s="67">
        <f>SUM(B6:B10)</f>
        <v>7248354.8000000007</v>
      </c>
      <c r="C11" s="70">
        <f t="shared" ref="C11:D11" si="1">SUM(C6:C10)</f>
        <v>7431683.9100000001</v>
      </c>
      <c r="D11" s="67">
        <f t="shared" si="1"/>
        <v>8008613.7499999991</v>
      </c>
      <c r="E11" s="73">
        <f t="shared" si="0"/>
        <v>2.5292513274874473E-2</v>
      </c>
      <c r="F11" s="38">
        <f t="shared" si="0"/>
        <v>7.7631105814886414E-2</v>
      </c>
    </row>
    <row r="12" spans="1:6" ht="15" customHeight="1" x14ac:dyDescent="0.35">
      <c r="A12" s="115" t="s">
        <v>29</v>
      </c>
      <c r="B12" s="116">
        <v>7230707.75</v>
      </c>
      <c r="C12" s="117">
        <v>8302249</v>
      </c>
      <c r="D12" s="116"/>
      <c r="E12" s="118">
        <f t="shared" si="0"/>
        <v>0.14819313503577858</v>
      </c>
      <c r="F12" s="119">
        <f t="shared" si="0"/>
        <v>-1</v>
      </c>
    </row>
    <row r="13" spans="1:6" ht="15" customHeight="1" x14ac:dyDescent="0.35">
      <c r="A13" s="105" t="s">
        <v>60</v>
      </c>
      <c r="B13" s="106">
        <v>175022.55</v>
      </c>
      <c r="C13" s="107">
        <v>176647.08</v>
      </c>
      <c r="D13" s="106">
        <v>197163.29</v>
      </c>
      <c r="E13" s="108">
        <f t="shared" si="0"/>
        <v>9.2818325410068958E-3</v>
      </c>
      <c r="F13" s="109">
        <f t="shared" si="0"/>
        <v>0.11614236702922009</v>
      </c>
    </row>
    <row r="14" spans="1:6" ht="15" customHeight="1" x14ac:dyDescent="0.35">
      <c r="A14" s="110" t="s">
        <v>61</v>
      </c>
      <c r="B14" s="111"/>
      <c r="C14" s="112"/>
      <c r="D14" s="111">
        <v>8336470</v>
      </c>
      <c r="E14" s="113" t="str">
        <f t="shared" si="0"/>
        <v/>
      </c>
      <c r="F14" s="114" t="str">
        <f t="shared" si="0"/>
        <v/>
      </c>
    </row>
    <row r="15" spans="1:6" s="3" customFormat="1" ht="15" customHeight="1" x14ac:dyDescent="0.35">
      <c r="A15" s="64" t="s">
        <v>63</v>
      </c>
      <c r="B15" s="67">
        <f>SUM(B12:B14)</f>
        <v>7405730.2999999998</v>
      </c>
      <c r="C15" s="70">
        <f t="shared" ref="C15:D15" si="2">SUM(C12:C14)</f>
        <v>8478896.0800000001</v>
      </c>
      <c r="D15" s="67">
        <f t="shared" si="2"/>
        <v>8533633.2899999991</v>
      </c>
      <c r="E15" s="73">
        <f t="shared" si="0"/>
        <v>0.1449101893435143</v>
      </c>
      <c r="F15" s="38">
        <f t="shared" si="0"/>
        <v>6.4557000679739129E-3</v>
      </c>
    </row>
    <row r="16" spans="1:6" s="11" customFormat="1" ht="15" customHeight="1" x14ac:dyDescent="0.35">
      <c r="A16" s="120" t="s">
        <v>74</v>
      </c>
      <c r="B16" s="121">
        <v>1459814.39</v>
      </c>
      <c r="C16" s="122">
        <v>1593952.32</v>
      </c>
      <c r="D16" s="121">
        <v>1098148.56</v>
      </c>
      <c r="E16" s="123">
        <f t="shared" si="0"/>
        <v>9.1886976124410102E-2</v>
      </c>
      <c r="F16" s="124">
        <f t="shared" si="0"/>
        <v>-0.3110530683878926</v>
      </c>
    </row>
    <row r="17" spans="1:10" s="11" customFormat="1" ht="15" customHeight="1" x14ac:dyDescent="0.35">
      <c r="A17" s="125" t="s">
        <v>71</v>
      </c>
      <c r="B17" s="126">
        <v>113964.16</v>
      </c>
      <c r="C17" s="127">
        <v>0</v>
      </c>
      <c r="D17" s="126">
        <v>0</v>
      </c>
      <c r="E17" s="128">
        <f t="shared" si="0"/>
        <v>-1</v>
      </c>
      <c r="F17" s="129" t="e">
        <f t="shared" si="0"/>
        <v>#DIV/0!</v>
      </c>
    </row>
    <row r="18" spans="1:10" s="11" customFormat="1" ht="15" customHeight="1" x14ac:dyDescent="0.35">
      <c r="A18" s="125" t="s">
        <v>72</v>
      </c>
      <c r="B18" s="126"/>
      <c r="C18" s="127"/>
      <c r="D18" s="126"/>
      <c r="E18" s="128" t="str">
        <f t="shared" si="0"/>
        <v/>
      </c>
      <c r="F18" s="129" t="str">
        <f t="shared" si="0"/>
        <v/>
      </c>
    </row>
    <row r="19" spans="1:10" s="11" customFormat="1" ht="15" customHeight="1" x14ac:dyDescent="0.35">
      <c r="A19" s="130" t="s">
        <v>73</v>
      </c>
      <c r="B19" s="131"/>
      <c r="C19" s="132"/>
      <c r="D19" s="131"/>
      <c r="E19" s="133" t="str">
        <f t="shared" si="0"/>
        <v/>
      </c>
      <c r="F19" s="134" t="str">
        <f t="shared" si="0"/>
        <v/>
      </c>
    </row>
    <row r="20" spans="1:10" ht="15" customHeight="1" x14ac:dyDescent="0.35">
      <c r="A20" s="65" t="s">
        <v>84</v>
      </c>
      <c r="B20" s="68">
        <v>190033.28</v>
      </c>
      <c r="C20" s="71">
        <v>630526.56999999995</v>
      </c>
      <c r="D20" s="68">
        <v>1729399.57</v>
      </c>
      <c r="E20" s="74">
        <f t="shared" si="0"/>
        <v>2.3179797243935374</v>
      </c>
      <c r="F20" s="32">
        <f t="shared" si="0"/>
        <v>1.7427861921821948</v>
      </c>
    </row>
    <row r="21" spans="1:10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10" s="3" customFormat="1" ht="15" customHeight="1" thickBot="1" x14ac:dyDescent="0.4">
      <c r="A22" s="85" t="s">
        <v>27</v>
      </c>
      <c r="B22" s="86">
        <f>B11+B15+B20+B21</f>
        <v>14844118.380000001</v>
      </c>
      <c r="C22" s="87">
        <f>C11+C15+C20+C21</f>
        <v>16541106.560000001</v>
      </c>
      <c r="D22" s="86">
        <f>D11+D15+D20+D21</f>
        <v>18271646.609999999</v>
      </c>
      <c r="E22" s="88">
        <f t="shared" si="0"/>
        <v>0.11432057711735921</v>
      </c>
      <c r="F22" s="89">
        <f t="shared" si="0"/>
        <v>0.10462057321998164</v>
      </c>
    </row>
    <row r="23" spans="1:10" ht="15" customHeight="1" thickBot="1" x14ac:dyDescent="0.4">
      <c r="E23" s="5" t="str">
        <f t="shared" si="0"/>
        <v/>
      </c>
      <c r="F23" s="5" t="str">
        <f t="shared" si="0"/>
        <v/>
      </c>
    </row>
    <row r="24" spans="1:10" ht="15" customHeight="1" x14ac:dyDescent="0.35">
      <c r="A24" s="154" t="s">
        <v>39</v>
      </c>
      <c r="B24" s="155">
        <v>5050330.25</v>
      </c>
      <c r="C24" s="155">
        <v>5418055.1799999997</v>
      </c>
      <c r="D24" s="155">
        <v>5622408.0999999996</v>
      </c>
      <c r="E24" s="156">
        <f t="shared" si="0"/>
        <v>7.2812056201671194E-2</v>
      </c>
      <c r="F24" s="104">
        <f t="shared" si="0"/>
        <v>3.7717024506199293E-2</v>
      </c>
    </row>
    <row r="25" spans="1:10" ht="15" customHeight="1" x14ac:dyDescent="0.35">
      <c r="A25" s="157" t="s">
        <v>40</v>
      </c>
      <c r="B25" s="158">
        <v>2212053.59</v>
      </c>
      <c r="C25" s="158">
        <v>2343763.14</v>
      </c>
      <c r="D25" s="158">
        <v>2456786.69</v>
      </c>
      <c r="E25" s="159">
        <f t="shared" si="0"/>
        <v>5.9541753687802901E-2</v>
      </c>
      <c r="F25" s="109">
        <f t="shared" si="0"/>
        <v>4.8223110975283978E-2</v>
      </c>
    </row>
    <row r="26" spans="1:10" ht="15" customHeight="1" x14ac:dyDescent="0.35">
      <c r="A26" s="160" t="s">
        <v>41</v>
      </c>
      <c r="B26" s="161">
        <v>98036.459999999992</v>
      </c>
      <c r="C26" s="161">
        <v>83203.030000000013</v>
      </c>
      <c r="D26" s="161">
        <v>83803.31</v>
      </c>
      <c r="E26" s="162">
        <f t="shared" si="0"/>
        <v>-0.15130523888765446</v>
      </c>
      <c r="F26" s="114">
        <f t="shared" si="0"/>
        <v>7.2146411014115674E-3</v>
      </c>
    </row>
    <row r="27" spans="1:10" ht="15" customHeight="1" x14ac:dyDescent="0.35">
      <c r="A27" s="31" t="s">
        <v>65</v>
      </c>
      <c r="B27" s="23">
        <f>B24+B25+B26</f>
        <v>7360420.2999999998</v>
      </c>
      <c r="C27" s="23">
        <f t="shared" ref="C27:D27" si="3">C24+C25+C26</f>
        <v>7845021.3500000006</v>
      </c>
      <c r="D27" s="23">
        <f t="shared" si="3"/>
        <v>8162998.0999999987</v>
      </c>
      <c r="E27" s="24">
        <f t="shared" si="0"/>
        <v>6.5838774179784343E-2</v>
      </c>
      <c r="F27" s="32">
        <f t="shared" si="0"/>
        <v>4.0532298870034067E-2</v>
      </c>
    </row>
    <row r="28" spans="1:10" ht="15" customHeight="1" x14ac:dyDescent="0.35">
      <c r="A28" s="33" t="s">
        <v>66</v>
      </c>
      <c r="B28" s="23">
        <v>1586186.58</v>
      </c>
      <c r="C28" s="23">
        <v>1996627.0799999998</v>
      </c>
      <c r="D28" s="23">
        <v>2131571.04</v>
      </c>
      <c r="E28" s="24">
        <f t="shared" si="0"/>
        <v>0.25875928164768602</v>
      </c>
      <c r="F28" s="32">
        <f t="shared" si="0"/>
        <v>6.7585961019821506E-2</v>
      </c>
    </row>
    <row r="29" spans="1:10" s="6" customFormat="1" ht="15" customHeight="1" x14ac:dyDescent="0.35">
      <c r="A29" s="182" t="s">
        <v>26</v>
      </c>
      <c r="B29" s="183">
        <v>1201554.3400000001</v>
      </c>
      <c r="C29" s="183">
        <v>1645475.92</v>
      </c>
      <c r="D29" s="183">
        <v>1801089.8</v>
      </c>
      <c r="E29" s="184">
        <f t="shared" si="0"/>
        <v>0.36945609967169668</v>
      </c>
      <c r="F29" s="185">
        <f t="shared" si="0"/>
        <v>9.4570742791544538E-2</v>
      </c>
    </row>
    <row r="30" spans="1:10" s="163" customFormat="1" ht="15" customHeight="1" x14ac:dyDescent="0.35">
      <c r="A30" s="171" t="s">
        <v>76</v>
      </c>
      <c r="B30" s="172">
        <f>SUM(B31:B36)</f>
        <v>1198362.2</v>
      </c>
      <c r="C30" s="172">
        <f t="shared" ref="C30:D30" si="4">SUM(C31:C36)</f>
        <v>1336996.0499999998</v>
      </c>
      <c r="D30" s="172">
        <f t="shared" si="4"/>
        <v>1513548.1099999999</v>
      </c>
      <c r="E30" s="169">
        <f t="shared" si="0"/>
        <v>0.11568610057960771</v>
      </c>
      <c r="F30" s="170">
        <f t="shared" si="0"/>
        <v>0.1320512951403261</v>
      </c>
      <c r="H30" s="164"/>
      <c r="I30" s="164"/>
      <c r="J30" s="164"/>
    </row>
    <row r="31" spans="1:10" s="9" customFormat="1" ht="15" customHeight="1" x14ac:dyDescent="0.35">
      <c r="A31" s="165" t="s">
        <v>21</v>
      </c>
      <c r="B31" s="166">
        <v>585289.24</v>
      </c>
      <c r="C31" s="166">
        <v>620154.92000000004</v>
      </c>
      <c r="D31" s="166">
        <v>852632.13</v>
      </c>
      <c r="E31" s="167">
        <f t="shared" si="0"/>
        <v>5.9569999954210751E-2</v>
      </c>
      <c r="F31" s="168">
        <f t="shared" si="0"/>
        <v>0.3748695729125231</v>
      </c>
    </row>
    <row r="32" spans="1:10" s="9" customFormat="1" ht="15" customHeight="1" x14ac:dyDescent="0.35">
      <c r="A32" s="165" t="s">
        <v>22</v>
      </c>
      <c r="B32" s="166">
        <v>5721.99</v>
      </c>
      <c r="C32" s="166">
        <v>5452.96</v>
      </c>
      <c r="D32" s="166">
        <v>19025.52</v>
      </c>
      <c r="E32" s="167">
        <f t="shared" si="0"/>
        <v>-4.7016859519153242E-2</v>
      </c>
      <c r="F32" s="168">
        <f t="shared" si="0"/>
        <v>2.489026143599073</v>
      </c>
    </row>
    <row r="33" spans="1:6" s="9" customFormat="1" ht="15" customHeight="1" x14ac:dyDescent="0.35">
      <c r="A33" s="165" t="s">
        <v>23</v>
      </c>
      <c r="B33" s="166">
        <v>904.45</v>
      </c>
      <c r="C33" s="166">
        <v>1960.84</v>
      </c>
      <c r="D33" s="166">
        <v>40324.089999999997</v>
      </c>
      <c r="E33" s="167">
        <f t="shared" si="0"/>
        <v>1.1679915971032115</v>
      </c>
      <c r="F33" s="168">
        <f t="shared" si="0"/>
        <v>19.564701862467103</v>
      </c>
    </row>
    <row r="34" spans="1:6" s="9" customFormat="1" ht="15" customHeight="1" x14ac:dyDescent="0.35">
      <c r="A34" s="165" t="s">
        <v>24</v>
      </c>
      <c r="B34" s="181"/>
      <c r="C34" s="181"/>
      <c r="D34" s="181"/>
      <c r="E34" s="167" t="str">
        <f t="shared" si="0"/>
        <v/>
      </c>
      <c r="F34" s="168" t="str">
        <f t="shared" si="0"/>
        <v/>
      </c>
    </row>
    <row r="35" spans="1:6" s="9" customFormat="1" ht="15" customHeight="1" x14ac:dyDescent="0.35">
      <c r="A35" s="165" t="s">
        <v>25</v>
      </c>
      <c r="B35" s="166">
        <v>606446.52</v>
      </c>
      <c r="C35" s="166">
        <v>709427.33</v>
      </c>
      <c r="D35" s="166">
        <v>601566.37</v>
      </c>
      <c r="E35" s="167">
        <f t="shared" si="0"/>
        <v>0.16981020849126138</v>
      </c>
      <c r="F35" s="168">
        <f t="shared" si="0"/>
        <v>-0.15203947668607576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2899367.5300000003</v>
      </c>
      <c r="C37" s="172">
        <v>2043798.6</v>
      </c>
      <c r="D37" s="172">
        <v>2733437.35</v>
      </c>
      <c r="E37" s="169">
        <f t="shared" si="0"/>
        <v>-0.29508812565063114</v>
      </c>
      <c r="F37" s="170">
        <f t="shared" si="0"/>
        <v>0.33742989646827226</v>
      </c>
    </row>
    <row r="38" spans="1:6" s="7" customFormat="1" ht="15" customHeight="1" x14ac:dyDescent="0.35">
      <c r="A38" s="173" t="s">
        <v>70</v>
      </c>
      <c r="B38" s="174">
        <v>2883890.81</v>
      </c>
      <c r="C38" s="174">
        <v>2030466.59</v>
      </c>
      <c r="D38" s="174">
        <v>2715776.74</v>
      </c>
      <c r="E38" s="169">
        <f t="shared" si="0"/>
        <v>-0.29592806254686177</v>
      </c>
      <c r="F38" s="170">
        <f t="shared" si="0"/>
        <v>0.33751363030307235</v>
      </c>
    </row>
    <row r="39" spans="1:6" s="10" customFormat="1" ht="15" customHeight="1" x14ac:dyDescent="0.35">
      <c r="A39" s="171" t="s">
        <v>78</v>
      </c>
      <c r="B39" s="172">
        <v>722480.02</v>
      </c>
      <c r="C39" s="172">
        <v>811914.91</v>
      </c>
      <c r="D39" s="172">
        <v>860048.08000000007</v>
      </c>
      <c r="E39" s="169">
        <f t="shared" si="0"/>
        <v>0.12378873813008706</v>
      </c>
      <c r="F39" s="170">
        <f t="shared" si="0"/>
        <v>5.9283515313199642E-2</v>
      </c>
    </row>
    <row r="40" spans="1:6" s="10" customFormat="1" ht="15" customHeight="1" x14ac:dyDescent="0.35">
      <c r="A40" s="175" t="s">
        <v>79</v>
      </c>
      <c r="B40" s="176">
        <v>1347452.1100000003</v>
      </c>
      <c r="C40" s="176">
        <v>1697499.0900000003</v>
      </c>
      <c r="D40" s="176">
        <v>2206779.8800000004</v>
      </c>
      <c r="E40" s="177">
        <f t="shared" si="0"/>
        <v>0.25978435701139668</v>
      </c>
      <c r="F40" s="178">
        <f t="shared" si="0"/>
        <v>0.30001829927343282</v>
      </c>
    </row>
    <row r="41" spans="1:6" ht="15" customHeight="1" x14ac:dyDescent="0.35">
      <c r="A41" s="31" t="s">
        <v>75</v>
      </c>
      <c r="B41" s="23">
        <f>+B30+B37+B39+B40</f>
        <v>6167661.8600000003</v>
      </c>
      <c r="C41" s="23">
        <f>+C30+C37+C39+C40</f>
        <v>5890208.6500000004</v>
      </c>
      <c r="D41" s="23">
        <f>+D30+D37+D39+D40</f>
        <v>7313813.4199999999</v>
      </c>
      <c r="E41" s="24">
        <f t="shared" si="0"/>
        <v>-4.4985152606923262E-2</v>
      </c>
      <c r="F41" s="32">
        <f t="shared" si="0"/>
        <v>0.24169004098012725</v>
      </c>
    </row>
    <row r="42" spans="1:6" ht="15" customHeight="1" x14ac:dyDescent="0.35">
      <c r="A42" s="33" t="s">
        <v>67</v>
      </c>
      <c r="B42" s="23">
        <v>271127.01</v>
      </c>
      <c r="C42" s="23">
        <v>460509.07999999996</v>
      </c>
      <c r="D42" s="23">
        <f>171731.02-1896</f>
        <v>169835.02</v>
      </c>
      <c r="E42" s="24">
        <f t="shared" si="0"/>
        <v>0.69849945971815908</v>
      </c>
      <c r="F42" s="32">
        <f t="shared" si="0"/>
        <v>-0.63120158238790869</v>
      </c>
    </row>
    <row r="43" spans="1:6" ht="15" customHeight="1" x14ac:dyDescent="0.35">
      <c r="A43" s="33" t="s">
        <v>68</v>
      </c>
      <c r="B43" s="23"/>
      <c r="C43" s="23"/>
      <c r="D43" s="23">
        <v>1896</v>
      </c>
      <c r="E43" s="24" t="str">
        <f t="shared" si="0"/>
        <v/>
      </c>
      <c r="F43" s="32" t="str">
        <f t="shared" si="0"/>
        <v/>
      </c>
    </row>
    <row r="44" spans="1:6" ht="15" customHeight="1" x14ac:dyDescent="0.35">
      <c r="A44" s="33" t="s">
        <v>69</v>
      </c>
      <c r="B44" s="23">
        <v>40</v>
      </c>
      <c r="C44" s="23"/>
      <c r="D44" s="23"/>
      <c r="E44" s="24">
        <f t="shared" si="0"/>
        <v>-1</v>
      </c>
      <c r="F44" s="32" t="str">
        <f t="shared" si="0"/>
        <v/>
      </c>
    </row>
    <row r="45" spans="1:6" ht="15" customHeight="1" x14ac:dyDescent="0.35">
      <c r="A45" s="186" t="s">
        <v>80</v>
      </c>
      <c r="B45" s="187">
        <v>1519970.68</v>
      </c>
      <c r="C45" s="187">
        <v>1644796.45</v>
      </c>
      <c r="D45" s="187">
        <v>1230518.18</v>
      </c>
      <c r="E45" s="188">
        <f t="shared" si="0"/>
        <v>8.2123801230165938E-2</v>
      </c>
      <c r="F45" s="189">
        <f t="shared" si="0"/>
        <v>-0.25187205991355344</v>
      </c>
    </row>
    <row r="46" spans="1:6" ht="15" customHeight="1" x14ac:dyDescent="0.35">
      <c r="A46" s="171" t="s">
        <v>81</v>
      </c>
      <c r="B46" s="190"/>
      <c r="C46" s="190">
        <v>21565.08</v>
      </c>
      <c r="D46" s="190">
        <v>1246558</v>
      </c>
      <c r="E46" s="191" t="str">
        <f t="shared" si="0"/>
        <v/>
      </c>
      <c r="F46" s="192">
        <f t="shared" si="0"/>
        <v>56.804469076859434</v>
      </c>
    </row>
    <row r="47" spans="1:6" ht="15" customHeight="1" x14ac:dyDescent="0.35">
      <c r="A47" s="175" t="s">
        <v>82</v>
      </c>
      <c r="B47" s="196"/>
      <c r="C47" s="196"/>
      <c r="D47" s="196"/>
      <c r="E47" s="194" t="str">
        <f t="shared" si="0"/>
        <v/>
      </c>
      <c r="F47" s="195" t="str">
        <f t="shared" si="0"/>
        <v/>
      </c>
    </row>
    <row r="48" spans="1:6" ht="15" customHeight="1" thickBot="1" x14ac:dyDescent="0.4">
      <c r="A48" s="90" t="s">
        <v>83</v>
      </c>
      <c r="B48" s="91">
        <v>1519970.68</v>
      </c>
      <c r="C48" s="91">
        <v>1666361.53</v>
      </c>
      <c r="D48" s="91">
        <v>2477076.1800000002</v>
      </c>
      <c r="E48" s="92">
        <f t="shared" si="0"/>
        <v>9.6311627537446931E-2</v>
      </c>
      <c r="F48" s="79">
        <f t="shared" si="0"/>
        <v>0.48651786266333219</v>
      </c>
    </row>
    <row r="49" spans="1:8" s="3" customFormat="1" ht="15" customHeight="1" thickBot="1" x14ac:dyDescent="0.4">
      <c r="A49" s="96" t="s">
        <v>28</v>
      </c>
      <c r="B49" s="97">
        <f>B27+B28+B41+B42+B43+B44+B48</f>
        <v>16905406.43</v>
      </c>
      <c r="C49" s="97">
        <f>C27+C28+C41+C42+C43+C44+C48</f>
        <v>17858727.690000001</v>
      </c>
      <c r="D49" s="97">
        <f>D27+D28+D41+D42+D43+D44+D48</f>
        <v>20257189.759999998</v>
      </c>
      <c r="E49" s="98">
        <f t="shared" si="0"/>
        <v>5.6391501969941249E-2</v>
      </c>
      <c r="F49" s="99">
        <f t="shared" si="0"/>
        <v>0.134301956535404</v>
      </c>
    </row>
    <row r="50" spans="1:8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  <c r="H50" s="8"/>
    </row>
    <row r="51" spans="1:8" ht="15" customHeight="1" x14ac:dyDescent="0.35">
      <c r="A51" s="57" t="s">
        <v>8</v>
      </c>
      <c r="B51" s="44">
        <f>+B11</f>
        <v>7248354.8000000007</v>
      </c>
      <c r="C51" s="58">
        <f>+C11</f>
        <v>7431683.9100000001</v>
      </c>
      <c r="D51" s="44">
        <f>+D11</f>
        <v>8008613.7499999991</v>
      </c>
      <c r="E51" s="59">
        <f t="shared" si="0"/>
        <v>2.5292513274874473E-2</v>
      </c>
      <c r="F51" s="28">
        <f t="shared" si="0"/>
        <v>7.7631105814886414E-2</v>
      </c>
    </row>
    <row r="52" spans="1:8" ht="15" customHeight="1" x14ac:dyDescent="0.35">
      <c r="A52" s="40" t="s">
        <v>9</v>
      </c>
      <c r="B52" s="45">
        <f>+B28</f>
        <v>1586186.58</v>
      </c>
      <c r="C52" s="49">
        <f>+C28</f>
        <v>1996627.0799999998</v>
      </c>
      <c r="D52" s="45">
        <f>+D28</f>
        <v>2131571.04</v>
      </c>
      <c r="E52" s="53">
        <f t="shared" si="0"/>
        <v>0.25875928164768602</v>
      </c>
      <c r="F52" s="30">
        <f t="shared" si="0"/>
        <v>6.7585961019821506E-2</v>
      </c>
    </row>
    <row r="53" spans="1:8" ht="15" customHeight="1" x14ac:dyDescent="0.35">
      <c r="A53" s="40" t="s">
        <v>10</v>
      </c>
      <c r="B53" s="45">
        <f>+B41</f>
        <v>6167661.8600000003</v>
      </c>
      <c r="C53" s="49">
        <f>+C41</f>
        <v>5890208.6500000004</v>
      </c>
      <c r="D53" s="45">
        <f>+D41</f>
        <v>7313813.4199999999</v>
      </c>
      <c r="E53" s="53">
        <f t="shared" si="0"/>
        <v>-4.4985152606923262E-2</v>
      </c>
      <c r="F53" s="30">
        <f t="shared" si="0"/>
        <v>0.24169004098012725</v>
      </c>
    </row>
    <row r="54" spans="1:8" s="3" customFormat="1" ht="15" customHeight="1" x14ac:dyDescent="0.35">
      <c r="A54" s="41" t="s">
        <v>11</v>
      </c>
      <c r="B54" s="46">
        <f>B51-B52-B53</f>
        <v>-505493.63999999966</v>
      </c>
      <c r="C54" s="50">
        <f t="shared" ref="C54:D54" si="5">C51-C52-C53</f>
        <v>-455151.8200000003</v>
      </c>
      <c r="D54" s="46">
        <f t="shared" si="5"/>
        <v>-1436770.7100000009</v>
      </c>
      <c r="E54" s="54">
        <f t="shared" si="0"/>
        <v>-9.9589423123106702E-2</v>
      </c>
      <c r="F54" s="34">
        <f t="shared" si="0"/>
        <v>2.1566845322072972</v>
      </c>
      <c r="G54" s="4"/>
    </row>
    <row r="55" spans="1:8" ht="15" customHeight="1" x14ac:dyDescent="0.35">
      <c r="A55" s="40" t="s">
        <v>12</v>
      </c>
      <c r="B55" s="45">
        <f>B15</f>
        <v>7405730.2999999998</v>
      </c>
      <c r="C55" s="49">
        <f>C15</f>
        <v>8478896.0800000001</v>
      </c>
      <c r="D55" s="45">
        <f>D15</f>
        <v>8533633.2899999991</v>
      </c>
      <c r="E55" s="53">
        <f t="shared" si="0"/>
        <v>0.1449101893435143</v>
      </c>
      <c r="F55" s="30">
        <f t="shared" si="0"/>
        <v>6.4557000679739129E-3</v>
      </c>
      <c r="H55" s="8"/>
    </row>
    <row r="56" spans="1:8" ht="15" customHeight="1" x14ac:dyDescent="0.35">
      <c r="A56" s="40" t="s">
        <v>13</v>
      </c>
      <c r="B56" s="45">
        <f>B27</f>
        <v>7360420.2999999998</v>
      </c>
      <c r="C56" s="49">
        <f>C27</f>
        <v>7845021.3500000006</v>
      </c>
      <c r="D56" s="45">
        <f>D27</f>
        <v>8162998.0999999987</v>
      </c>
      <c r="E56" s="53">
        <f t="shared" si="0"/>
        <v>6.5838774179784343E-2</v>
      </c>
      <c r="F56" s="30">
        <f t="shared" si="0"/>
        <v>4.0532298870034067E-2</v>
      </c>
    </row>
    <row r="57" spans="1:8" ht="15" customHeight="1" x14ac:dyDescent="0.35">
      <c r="A57" s="40" t="s">
        <v>14</v>
      </c>
      <c r="B57" s="45">
        <f>B42+B43</f>
        <v>271127.01</v>
      </c>
      <c r="C57" s="49">
        <f t="shared" ref="C57:D57" si="6">C42+C43</f>
        <v>460509.07999999996</v>
      </c>
      <c r="D57" s="45">
        <f t="shared" si="6"/>
        <v>171731.02</v>
      </c>
      <c r="E57" s="53">
        <f t="shared" si="0"/>
        <v>0.69849945971815908</v>
      </c>
      <c r="F57" s="30">
        <f t="shared" si="0"/>
        <v>-0.62708439972562535</v>
      </c>
    </row>
    <row r="58" spans="1:8" s="3" customFormat="1" ht="15" customHeight="1" x14ac:dyDescent="0.35">
      <c r="A58" s="42" t="s">
        <v>15</v>
      </c>
      <c r="B58" s="47">
        <f>+B54+B55-B56-B57</f>
        <v>-731310.64999999967</v>
      </c>
      <c r="C58" s="51">
        <f>+C54+C55-C56-C57</f>
        <v>-281786.17000000074</v>
      </c>
      <c r="D58" s="47">
        <f t="shared" ref="D58" si="7">+D54+D55-D56-D57</f>
        <v>-1237866.5400000005</v>
      </c>
      <c r="E58" s="55">
        <f t="shared" si="0"/>
        <v>-0.6146833496818338</v>
      </c>
      <c r="F58" s="35">
        <f t="shared" si="0"/>
        <v>3.3929286522471891</v>
      </c>
      <c r="G58" s="4"/>
    </row>
    <row r="59" spans="1:8" ht="15" customHeight="1" x14ac:dyDescent="0.35">
      <c r="A59" s="40" t="s">
        <v>16</v>
      </c>
      <c r="B59" s="45">
        <f t="shared" ref="B59:D60" si="8">B20</f>
        <v>190033.28</v>
      </c>
      <c r="C59" s="49">
        <f t="shared" si="8"/>
        <v>630526.56999999995</v>
      </c>
      <c r="D59" s="45">
        <f t="shared" si="8"/>
        <v>1729399.57</v>
      </c>
      <c r="E59" s="53">
        <f t="shared" si="0"/>
        <v>2.3179797243935374</v>
      </c>
      <c r="F59" s="30">
        <f t="shared" si="0"/>
        <v>1.7427861921821948</v>
      </c>
    </row>
    <row r="60" spans="1:8" ht="15" customHeight="1" x14ac:dyDescent="0.35">
      <c r="A60" s="40" t="s">
        <v>17</v>
      </c>
      <c r="B60" s="45">
        <f t="shared" si="8"/>
        <v>0</v>
      </c>
      <c r="C60" s="49">
        <f t="shared" si="8"/>
        <v>0</v>
      </c>
      <c r="D60" s="45">
        <f t="shared" si="8"/>
        <v>0</v>
      </c>
      <c r="E60" s="53" t="e">
        <f t="shared" si="0"/>
        <v>#DIV/0!</v>
      </c>
      <c r="F60" s="30" t="e">
        <f t="shared" si="0"/>
        <v>#DIV/0!</v>
      </c>
    </row>
    <row r="61" spans="1:8" ht="15" customHeight="1" x14ac:dyDescent="0.35">
      <c r="A61" s="40" t="s">
        <v>18</v>
      </c>
      <c r="B61" s="45">
        <f>B48</f>
        <v>1519970.68</v>
      </c>
      <c r="C61" s="49">
        <f t="shared" ref="C61:D61" si="9">C48</f>
        <v>1666361.53</v>
      </c>
      <c r="D61" s="45">
        <f t="shared" si="9"/>
        <v>2477076.1800000002</v>
      </c>
      <c r="E61" s="53">
        <f t="shared" si="0"/>
        <v>9.6311627537446931E-2</v>
      </c>
      <c r="F61" s="30">
        <f t="shared" si="0"/>
        <v>0.48651786266333219</v>
      </c>
    </row>
    <row r="62" spans="1:8" ht="15" customHeight="1" x14ac:dyDescent="0.35">
      <c r="A62" s="40" t="s">
        <v>19</v>
      </c>
      <c r="B62" s="45">
        <f>B44</f>
        <v>40</v>
      </c>
      <c r="C62" s="49">
        <f t="shared" ref="C62:D62" si="10">C44</f>
        <v>0</v>
      </c>
      <c r="D62" s="45">
        <f t="shared" si="10"/>
        <v>0</v>
      </c>
      <c r="E62" s="53">
        <f t="shared" si="0"/>
        <v>-1</v>
      </c>
      <c r="F62" s="30" t="e">
        <f t="shared" si="0"/>
        <v>#DIV/0!</v>
      </c>
    </row>
    <row r="63" spans="1:8" s="3" customFormat="1" ht="15" customHeight="1" thickBot="1" x14ac:dyDescent="0.4">
      <c r="A63" s="43" t="s">
        <v>20</v>
      </c>
      <c r="B63" s="48">
        <f>B58+B59+B60-B61-B62</f>
        <v>-2061288.0499999996</v>
      </c>
      <c r="C63" s="52">
        <f t="shared" ref="C63:D63" si="11">C58+C59+C60-C61-C62</f>
        <v>-1317621.1300000008</v>
      </c>
      <c r="D63" s="48">
        <f t="shared" si="11"/>
        <v>-1985543.1500000006</v>
      </c>
      <c r="E63" s="56">
        <f t="shared" si="0"/>
        <v>-0.36077777678864387</v>
      </c>
      <c r="F63" s="36">
        <f t="shared" si="0"/>
        <v>0.50691507960258608</v>
      </c>
      <c r="G63" s="4"/>
    </row>
    <row r="64" spans="1:8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1519970.68</v>
      </c>
      <c r="C65" s="26">
        <f t="shared" ref="C65:D65" si="12">C45</f>
        <v>1644796.45</v>
      </c>
      <c r="D65" s="26">
        <f t="shared" si="12"/>
        <v>1230518.18</v>
      </c>
      <c r="E65" s="27">
        <f t="shared" ref="E65:E66" si="13">+IF(ISBLANK(B65),"",+C65/B65-1)</f>
        <v>8.2123801230165938E-2</v>
      </c>
      <c r="F65" s="28">
        <f t="shared" ref="F65:F66" si="14">+IF(ISBLANK(C65),"",+D65/C65-1)</f>
        <v>-0.25187205991355344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5">B16</f>
        <v>1459814.39</v>
      </c>
      <c r="C66" s="19">
        <f t="shared" si="15"/>
        <v>1593952.32</v>
      </c>
      <c r="D66" s="19">
        <f t="shared" si="15"/>
        <v>1098148.56</v>
      </c>
      <c r="E66" s="20">
        <f t="shared" si="13"/>
        <v>9.1886976124410102E-2</v>
      </c>
      <c r="F66" s="30">
        <f t="shared" si="14"/>
        <v>-0.3110530683878926</v>
      </c>
    </row>
    <row r="67" spans="1:6" ht="15" customHeight="1" thickBot="1" x14ac:dyDescent="0.4">
      <c r="A67" s="207" t="s">
        <v>85</v>
      </c>
      <c r="B67" s="208">
        <f>B65-B66</f>
        <v>60156.290000000037</v>
      </c>
      <c r="C67" s="208">
        <f t="shared" ref="C67:D67" si="16">C65-C66</f>
        <v>50844.129999999888</v>
      </c>
      <c r="D67" s="208">
        <f t="shared" si="16"/>
        <v>132369.61999999988</v>
      </c>
      <c r="E67" s="209">
        <f>+IF(ISBLANK(B67),"",+C67/B67-1)</f>
        <v>-0.15479943992556955</v>
      </c>
      <c r="F67" s="210">
        <f>+IF(ISBLANK(C67),"",+D67/C67-1)</f>
        <v>1.6034395710970011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31C33-4EEB-4C55-ACA1-5320B6E36B68}">
  <sheetPr>
    <tabColor theme="5" tint="0.79998168889431442"/>
    <pageSetUpPr fitToPage="1"/>
  </sheetPr>
  <dimension ref="A1:H72"/>
  <sheetViews>
    <sheetView topLeftCell="B46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8" width="12.453125" style="1" bestFit="1" customWidth="1"/>
    <col min="9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31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18925911.079999998</v>
      </c>
      <c r="C6" s="102">
        <v>19594652.43</v>
      </c>
      <c r="D6" s="101">
        <v>19253987.59</v>
      </c>
      <c r="E6" s="103">
        <f>+IF(ISBLANK(B6),"",+C6/B6-1)</f>
        <v>3.5334697873895093E-2</v>
      </c>
      <c r="F6" s="104">
        <f>+IF(ISBLANK(C6),"",+D6/C6-1)</f>
        <v>-1.7385602588103621E-2</v>
      </c>
    </row>
    <row r="7" spans="1:6" ht="15" customHeight="1" x14ac:dyDescent="0.35">
      <c r="A7" s="105" t="s">
        <v>2</v>
      </c>
      <c r="B7" s="106">
        <v>5189361.57</v>
      </c>
      <c r="C7" s="107">
        <v>5620391.1100000003</v>
      </c>
      <c r="D7" s="106">
        <v>5508476.7199999997</v>
      </c>
      <c r="E7" s="108">
        <f t="shared" ref="E7:F63" si="0">+IF(ISBLANK(B7),"",+C7/B7-1)</f>
        <v>8.3060225075047178E-2</v>
      </c>
      <c r="F7" s="109">
        <f t="shared" si="0"/>
        <v>-1.9912206785908326E-2</v>
      </c>
    </row>
    <row r="8" spans="1:6" ht="15" customHeight="1" x14ac:dyDescent="0.35">
      <c r="A8" s="105" t="s">
        <v>4</v>
      </c>
      <c r="B8" s="106">
        <f>24405944.26-B6-B7</f>
        <v>290671.61000000313</v>
      </c>
      <c r="C8" s="107">
        <f>25827168.69-C6-C7</f>
        <v>612125.1500000013</v>
      </c>
      <c r="D8" s="106">
        <f>25095505.4-D6-D7</f>
        <v>333041.08999999892</v>
      </c>
      <c r="E8" s="108">
        <f t="shared" si="0"/>
        <v>1.1058993343037344</v>
      </c>
      <c r="F8" s="109">
        <f t="shared" si="0"/>
        <v>-0.45592647189876412</v>
      </c>
    </row>
    <row r="9" spans="1:6" ht="15" customHeight="1" x14ac:dyDescent="0.35">
      <c r="A9" s="105" t="s">
        <v>3</v>
      </c>
      <c r="B9" s="106">
        <v>185390.15</v>
      </c>
      <c r="C9" s="107">
        <v>236511.64</v>
      </c>
      <c r="D9" s="106">
        <v>76167</v>
      </c>
      <c r="E9" s="108">
        <f t="shared" si="0"/>
        <v>0.27575084221033319</v>
      </c>
      <c r="F9" s="109">
        <f t="shared" si="0"/>
        <v>-0.67795665363446811</v>
      </c>
    </row>
    <row r="10" spans="1:6" ht="15" customHeight="1" x14ac:dyDescent="0.35">
      <c r="A10" s="110" t="s">
        <v>5</v>
      </c>
      <c r="B10" s="111">
        <v>889703.37</v>
      </c>
      <c r="C10" s="112">
        <v>368022.38</v>
      </c>
      <c r="D10" s="111">
        <v>525032.27</v>
      </c>
      <c r="E10" s="113">
        <f t="shared" si="0"/>
        <v>-0.58635384285438863</v>
      </c>
      <c r="F10" s="114">
        <f t="shared" si="0"/>
        <v>0.42663136410345492</v>
      </c>
    </row>
    <row r="11" spans="1:6" s="3" customFormat="1" ht="15" customHeight="1" x14ac:dyDescent="0.35">
      <c r="A11" s="64" t="s">
        <v>62</v>
      </c>
      <c r="B11" s="67">
        <f>SUM(B6:B10)</f>
        <v>25481037.780000001</v>
      </c>
      <c r="C11" s="70">
        <f t="shared" ref="C11:D11" si="1">SUM(C6:C10)</f>
        <v>26431702.710000001</v>
      </c>
      <c r="D11" s="67">
        <f t="shared" si="1"/>
        <v>25696704.669999998</v>
      </c>
      <c r="E11" s="73">
        <f t="shared" si="0"/>
        <v>3.7308721026510616E-2</v>
      </c>
      <c r="F11" s="38">
        <f t="shared" si="0"/>
        <v>-2.7807441997368176E-2</v>
      </c>
    </row>
    <row r="12" spans="1:6" ht="15" customHeight="1" x14ac:dyDescent="0.35">
      <c r="A12" s="115" t="s">
        <v>29</v>
      </c>
      <c r="B12" s="116">
        <v>15999447</v>
      </c>
      <c r="C12" s="117">
        <v>18717856</v>
      </c>
      <c r="D12" s="116">
        <v>19117264</v>
      </c>
      <c r="E12" s="118">
        <f t="shared" si="0"/>
        <v>0.16990643489115587</v>
      </c>
      <c r="F12" s="119">
        <f t="shared" si="0"/>
        <v>2.1338341314304454E-2</v>
      </c>
    </row>
    <row r="13" spans="1:6" ht="15" customHeight="1" x14ac:dyDescent="0.35">
      <c r="A13" s="105" t="s">
        <v>60</v>
      </c>
      <c r="B13" s="106">
        <v>626607.56000000006</v>
      </c>
      <c r="C13" s="107">
        <v>660337.16</v>
      </c>
      <c r="D13" s="106">
        <v>717430.04</v>
      </c>
      <c r="E13" s="108">
        <f t="shared" si="0"/>
        <v>5.3828906883919503E-2</v>
      </c>
      <c r="F13" s="109">
        <f t="shared" si="0"/>
        <v>8.646019557645368E-2</v>
      </c>
    </row>
    <row r="14" spans="1:6" ht="15" customHeight="1" x14ac:dyDescent="0.35">
      <c r="A14" s="110" t="s">
        <v>61</v>
      </c>
      <c r="B14" s="111">
        <v>942499.42000000074</v>
      </c>
      <c r="C14" s="112">
        <v>768164.31999999844</v>
      </c>
      <c r="D14" s="111">
        <v>508870.71999999939</v>
      </c>
      <c r="E14" s="113">
        <f t="shared" si="0"/>
        <v>-0.18497104221029881</v>
      </c>
      <c r="F14" s="114">
        <f t="shared" si="0"/>
        <v>-0.33754965343873244</v>
      </c>
    </row>
    <row r="15" spans="1:6" s="3" customFormat="1" ht="15" customHeight="1" x14ac:dyDescent="0.35">
      <c r="A15" s="64" t="s">
        <v>63</v>
      </c>
      <c r="B15" s="67">
        <f>SUM(B12:B14)</f>
        <v>17568553.98</v>
      </c>
      <c r="C15" s="70">
        <f t="shared" ref="C15:D15" si="2">SUM(C12:C14)</f>
        <v>20146357.479999997</v>
      </c>
      <c r="D15" s="67">
        <f t="shared" si="2"/>
        <v>20343564.759999998</v>
      </c>
      <c r="E15" s="73">
        <f t="shared" si="0"/>
        <v>0.14672826818499463</v>
      </c>
      <c r="F15" s="38">
        <f t="shared" si="0"/>
        <v>9.7887312977433805E-3</v>
      </c>
    </row>
    <row r="16" spans="1:6" s="11" customFormat="1" ht="15" customHeight="1" x14ac:dyDescent="0.35">
      <c r="A16" s="120" t="s">
        <v>74</v>
      </c>
      <c r="B16" s="135">
        <v>3205411.03</v>
      </c>
      <c r="C16" s="136">
        <v>5726509.3099999996</v>
      </c>
      <c r="D16" s="135">
        <v>350902.34</v>
      </c>
      <c r="E16" s="123">
        <f t="shared" si="0"/>
        <v>0.78651326036024782</v>
      </c>
      <c r="F16" s="124">
        <f t="shared" si="0"/>
        <v>-0.93872316956034074</v>
      </c>
    </row>
    <row r="17" spans="1:6" s="11" customFormat="1" ht="15" customHeight="1" x14ac:dyDescent="0.35">
      <c r="A17" s="125" t="s">
        <v>71</v>
      </c>
      <c r="B17" s="137">
        <v>190033.28</v>
      </c>
      <c r="C17" s="138">
        <v>630526.56999999995</v>
      </c>
      <c r="D17" s="137">
        <v>1729399.57</v>
      </c>
      <c r="E17" s="128">
        <f t="shared" si="0"/>
        <v>2.3179797243935374</v>
      </c>
      <c r="F17" s="129">
        <f t="shared" si="0"/>
        <v>1.7427861921821948</v>
      </c>
    </row>
    <row r="18" spans="1:6" s="11" customFormat="1" ht="15" customHeight="1" x14ac:dyDescent="0.35">
      <c r="A18" s="125" t="s">
        <v>72</v>
      </c>
      <c r="B18" s="126"/>
      <c r="C18" s="127"/>
      <c r="D18" s="126"/>
      <c r="E18" s="128" t="str">
        <f t="shared" si="0"/>
        <v/>
      </c>
      <c r="F18" s="129" t="str">
        <f t="shared" si="0"/>
        <v/>
      </c>
    </row>
    <row r="19" spans="1:6" s="11" customFormat="1" ht="15" customHeight="1" x14ac:dyDescent="0.35">
      <c r="A19" s="130" t="s">
        <v>73</v>
      </c>
      <c r="B19" s="131">
        <v>0</v>
      </c>
      <c r="C19" s="132">
        <v>225239.54</v>
      </c>
      <c r="D19" s="131">
        <v>259298.9</v>
      </c>
      <c r="E19" s="133" t="e">
        <f t="shared" si="0"/>
        <v>#DIV/0!</v>
      </c>
      <c r="F19" s="134">
        <f t="shared" si="0"/>
        <v>0.15121394760440365</v>
      </c>
    </row>
    <row r="20" spans="1:6" ht="15" customHeight="1" x14ac:dyDescent="0.35">
      <c r="A20" s="65" t="s">
        <v>84</v>
      </c>
      <c r="B20" s="68">
        <f>SUM(B16:B19)</f>
        <v>3395444.3099999996</v>
      </c>
      <c r="C20" s="71">
        <f t="shared" ref="C20:D20" si="3">SUM(C16:C19)</f>
        <v>6582275.4199999999</v>
      </c>
      <c r="D20" s="68">
        <f t="shared" si="3"/>
        <v>2339600.81</v>
      </c>
      <c r="E20" s="74">
        <f t="shared" si="0"/>
        <v>0.93856085361623864</v>
      </c>
      <c r="F20" s="32">
        <f t="shared" si="0"/>
        <v>-0.64456048088002982</v>
      </c>
    </row>
    <row r="21" spans="1:6" ht="15" customHeight="1" thickBot="1" x14ac:dyDescent="0.4">
      <c r="A21" s="75" t="s">
        <v>64</v>
      </c>
      <c r="B21" s="76">
        <v>31950</v>
      </c>
      <c r="C21" s="77">
        <v>40992</v>
      </c>
      <c r="D21" s="76">
        <v>5992549.0199999996</v>
      </c>
      <c r="E21" s="78">
        <f t="shared" si="0"/>
        <v>0.2830046948356808</v>
      </c>
      <c r="F21" s="79">
        <f t="shared" si="0"/>
        <v>145.18825673302106</v>
      </c>
    </row>
    <row r="22" spans="1:6" s="3" customFormat="1" ht="15" customHeight="1" thickBot="1" x14ac:dyDescent="0.4">
      <c r="A22" s="85" t="s">
        <v>27</v>
      </c>
      <c r="B22" s="86">
        <f>B11+B15+B20+B21</f>
        <v>46476986.070000008</v>
      </c>
      <c r="C22" s="87">
        <f>C11+C15+C20+C21</f>
        <v>53201327.609999999</v>
      </c>
      <c r="D22" s="86">
        <f>D11+D15+D20+D21</f>
        <v>54372419.25999999</v>
      </c>
      <c r="E22" s="88">
        <f t="shared" si="0"/>
        <v>0.14468110152134894</v>
      </c>
      <c r="F22" s="89">
        <f t="shared" si="0"/>
        <v>2.2012451617464235E-2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14765852.709999999</v>
      </c>
      <c r="C24" s="155">
        <v>15902518.309999999</v>
      </c>
      <c r="D24" s="155">
        <v>16219542.449999999</v>
      </c>
      <c r="E24" s="156">
        <f t="shared" si="0"/>
        <v>7.6979340260532769E-2</v>
      </c>
      <c r="F24" s="104">
        <f t="shared" si="0"/>
        <v>1.9935467692600906E-2</v>
      </c>
    </row>
    <row r="25" spans="1:6" ht="15" customHeight="1" x14ac:dyDescent="0.35">
      <c r="A25" s="157" t="s">
        <v>40</v>
      </c>
      <c r="B25" s="158">
        <v>6999455.79</v>
      </c>
      <c r="C25" s="158">
        <v>7537011.3600000003</v>
      </c>
      <c r="D25" s="158">
        <v>7525899.5300000003</v>
      </c>
      <c r="E25" s="159">
        <f t="shared" si="0"/>
        <v>7.6799623589022037E-2</v>
      </c>
      <c r="F25" s="109">
        <f t="shared" si="0"/>
        <v>-1.4743018776609551E-3</v>
      </c>
    </row>
    <row r="26" spans="1:6" ht="15" customHeight="1" x14ac:dyDescent="0.35">
      <c r="A26" s="160" t="s">
        <v>41</v>
      </c>
      <c r="B26" s="161">
        <v>412183.32000000007</v>
      </c>
      <c r="C26" s="161">
        <v>295857.31</v>
      </c>
      <c r="D26" s="161">
        <v>318253.43000000005</v>
      </c>
      <c r="E26" s="162">
        <f t="shared" si="0"/>
        <v>-0.28221911066173189</v>
      </c>
      <c r="F26" s="114">
        <f t="shared" si="0"/>
        <v>7.5699059117383394E-2</v>
      </c>
    </row>
    <row r="27" spans="1:6" ht="15" customHeight="1" x14ac:dyDescent="0.35">
      <c r="A27" s="31" t="s">
        <v>65</v>
      </c>
      <c r="B27" s="23">
        <f>B24+B25+B26</f>
        <v>22177491.82</v>
      </c>
      <c r="C27" s="23">
        <f t="shared" ref="C27:D27" si="4">C24+C25+C26</f>
        <v>23735386.979999997</v>
      </c>
      <c r="D27" s="23">
        <f t="shared" si="4"/>
        <v>24063695.41</v>
      </c>
      <c r="E27" s="24">
        <f t="shared" si="0"/>
        <v>7.0246679500296949E-2</v>
      </c>
      <c r="F27" s="32">
        <f t="shared" si="0"/>
        <v>1.3832023479399824E-2</v>
      </c>
    </row>
    <row r="28" spans="1:6" ht="15" customHeight="1" x14ac:dyDescent="0.35">
      <c r="A28" s="33" t="s">
        <v>66</v>
      </c>
      <c r="B28" s="23">
        <v>4180129.4799999995</v>
      </c>
      <c r="C28" s="23">
        <f>4820248.7+67.3</f>
        <v>4820316</v>
      </c>
      <c r="D28" s="23">
        <f>4753512.09+83.45</f>
        <v>4753595.54</v>
      </c>
      <c r="E28" s="24">
        <f t="shared" si="0"/>
        <v>0.15314992587263121</v>
      </c>
      <c r="F28" s="32">
        <f t="shared" si="0"/>
        <v>-1.3841511635336756E-2</v>
      </c>
    </row>
    <row r="29" spans="1:6" s="6" customFormat="1" ht="15" customHeight="1" x14ac:dyDescent="0.35">
      <c r="A29" s="182" t="s">
        <v>26</v>
      </c>
      <c r="B29" s="183">
        <v>3836581.1199999996</v>
      </c>
      <c r="C29" s="183">
        <f>4473103.12</f>
        <v>4473103.12</v>
      </c>
      <c r="D29" s="183">
        <v>4410127.43</v>
      </c>
      <c r="E29" s="184">
        <f t="shared" si="0"/>
        <v>0.16590865150272149</v>
      </c>
      <c r="F29" s="185">
        <f t="shared" si="0"/>
        <v>-1.4078747641301903E-2</v>
      </c>
    </row>
    <row r="30" spans="1:6" s="163" customFormat="1" ht="15" customHeight="1" x14ac:dyDescent="0.35">
      <c r="A30" s="171" t="s">
        <v>76</v>
      </c>
      <c r="B30" s="172">
        <f>SUM(B31:B36)</f>
        <v>3456860.78</v>
      </c>
      <c r="C30" s="172">
        <f>SUM(C31:C36)</f>
        <v>5315887.4300000006</v>
      </c>
      <c r="D30" s="172">
        <f t="shared" ref="D30" si="5">SUM(D31:D36)</f>
        <v>5091022.0300000012</v>
      </c>
      <c r="E30" s="169">
        <f t="shared" si="0"/>
        <v>0.53777886015994003</v>
      </c>
      <c r="F30" s="170">
        <f t="shared" si="0"/>
        <v>-4.230063238942583E-2</v>
      </c>
    </row>
    <row r="31" spans="1:6" s="9" customFormat="1" ht="15" customHeight="1" x14ac:dyDescent="0.35">
      <c r="A31" s="165" t="s">
        <v>21</v>
      </c>
      <c r="B31" s="166">
        <v>1283415.9099999999</v>
      </c>
      <c r="C31" s="166">
        <v>2513745.41</v>
      </c>
      <c r="D31" s="166">
        <v>2434308.7200000002</v>
      </c>
      <c r="E31" s="167">
        <f t="shared" si="0"/>
        <v>0.95863662777875369</v>
      </c>
      <c r="F31" s="168">
        <f t="shared" si="0"/>
        <v>-3.1600928910298864E-2</v>
      </c>
    </row>
    <row r="32" spans="1:6" s="9" customFormat="1" ht="15" customHeight="1" x14ac:dyDescent="0.35">
      <c r="A32" s="165" t="s">
        <v>22</v>
      </c>
      <c r="B32" s="166">
        <v>44290.45</v>
      </c>
      <c r="C32" s="166">
        <v>58097.95</v>
      </c>
      <c r="D32" s="166">
        <v>53766.47</v>
      </c>
      <c r="E32" s="167">
        <f t="shared" si="0"/>
        <v>0.31174892104279817</v>
      </c>
      <c r="F32" s="168">
        <f t="shared" si="0"/>
        <v>-7.4554782053411484E-2</v>
      </c>
    </row>
    <row r="33" spans="1:6" s="9" customFormat="1" ht="15" customHeight="1" x14ac:dyDescent="0.35">
      <c r="A33" s="165" t="s">
        <v>23</v>
      </c>
      <c r="B33" s="166">
        <v>371820.56</v>
      </c>
      <c r="C33" s="166">
        <v>614565.69999999995</v>
      </c>
      <c r="D33" s="166">
        <v>833139.6</v>
      </c>
      <c r="E33" s="167">
        <f t="shared" si="0"/>
        <v>0.65285561400907999</v>
      </c>
      <c r="F33" s="168">
        <f t="shared" si="0"/>
        <v>0.35565587210610694</v>
      </c>
    </row>
    <row r="34" spans="1:6" s="9" customFormat="1" ht="15" customHeight="1" x14ac:dyDescent="0.35">
      <c r="A34" s="165" t="s">
        <v>24</v>
      </c>
      <c r="B34" s="166">
        <v>979829.26</v>
      </c>
      <c r="C34" s="166">
        <v>1101883.5900000001</v>
      </c>
      <c r="D34" s="166">
        <v>908833.5</v>
      </c>
      <c r="E34" s="167">
        <f t="shared" si="0"/>
        <v>0.12456693730497492</v>
      </c>
      <c r="F34" s="168">
        <f t="shared" si="0"/>
        <v>-0.17520007716967645</v>
      </c>
    </row>
    <row r="35" spans="1:6" s="9" customFormat="1" ht="15" customHeight="1" x14ac:dyDescent="0.35">
      <c r="A35" s="165" t="s">
        <v>25</v>
      </c>
      <c r="B35" s="166">
        <v>777504.6</v>
      </c>
      <c r="C35" s="166">
        <v>1027594.78</v>
      </c>
      <c r="D35" s="166">
        <v>860973.74</v>
      </c>
      <c r="E35" s="167">
        <f t="shared" si="0"/>
        <v>0.32165749244441777</v>
      </c>
      <c r="F35" s="168">
        <f t="shared" si="0"/>
        <v>-0.16214663916451588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3955631.55</v>
      </c>
      <c r="C37" s="172">
        <v>4414009.28</v>
      </c>
      <c r="D37" s="172">
        <v>3847329.7399999998</v>
      </c>
      <c r="E37" s="169">
        <f t="shared" si="0"/>
        <v>0.11587978410173227</v>
      </c>
      <c r="F37" s="170">
        <f t="shared" si="0"/>
        <v>-0.12838204544961906</v>
      </c>
    </row>
    <row r="38" spans="1:6" s="7" customFormat="1" ht="15" customHeight="1" x14ac:dyDescent="0.35">
      <c r="A38" s="173" t="s">
        <v>70</v>
      </c>
      <c r="B38" s="174">
        <v>3534111.21</v>
      </c>
      <c r="C38" s="174">
        <v>3856221.9099999997</v>
      </c>
      <c r="D38" s="174">
        <v>3494593.94</v>
      </c>
      <c r="E38" s="169">
        <f t="shared" si="0"/>
        <v>9.1143340110114934E-2</v>
      </c>
      <c r="F38" s="170">
        <f t="shared" si="0"/>
        <v>-9.3777790396922356E-2</v>
      </c>
    </row>
    <row r="39" spans="1:6" s="10" customFormat="1" ht="15" customHeight="1" x14ac:dyDescent="0.35">
      <c r="A39" s="171" t="s">
        <v>78</v>
      </c>
      <c r="B39" s="172">
        <v>2870856.7300000004</v>
      </c>
      <c r="C39" s="172">
        <v>3036461.6500000004</v>
      </c>
      <c r="D39" s="172">
        <v>2903398.66</v>
      </c>
      <c r="E39" s="169">
        <f t="shared" si="0"/>
        <v>5.7684843088634308E-2</v>
      </c>
      <c r="F39" s="170">
        <f t="shared" si="0"/>
        <v>-4.3821725856475147E-2</v>
      </c>
    </row>
    <row r="40" spans="1:6" s="10" customFormat="1" ht="15" customHeight="1" x14ac:dyDescent="0.35">
      <c r="A40" s="175" t="s">
        <v>79</v>
      </c>
      <c r="B40" s="176">
        <v>3223975.2799999984</v>
      </c>
      <c r="C40" s="176">
        <f>3582643.77-67.3</f>
        <v>3582576.47</v>
      </c>
      <c r="D40" s="176">
        <f>3992084.84-83.45</f>
        <v>3992001.3899999997</v>
      </c>
      <c r="E40" s="177">
        <f t="shared" si="0"/>
        <v>0.11122950979946777</v>
      </c>
      <c r="F40" s="178">
        <f t="shared" si="0"/>
        <v>0.11428225564156613</v>
      </c>
    </row>
    <row r="41" spans="1:6" ht="15" customHeight="1" x14ac:dyDescent="0.35">
      <c r="A41" s="31" t="s">
        <v>75</v>
      </c>
      <c r="B41" s="23">
        <f>+B30+B37+B39+B40</f>
        <v>13507324.34</v>
      </c>
      <c r="C41" s="23">
        <f>+C30+C37+C39+C40</f>
        <v>16348934.830000002</v>
      </c>
      <c r="D41" s="23">
        <f>+D30+D37+D39+D40</f>
        <v>15833751.82</v>
      </c>
      <c r="E41" s="24">
        <f t="shared" si="0"/>
        <v>0.21037552800779213</v>
      </c>
      <c r="F41" s="32">
        <f t="shared" si="0"/>
        <v>-3.1511717145917717E-2</v>
      </c>
    </row>
    <row r="42" spans="1:6" ht="15" customHeight="1" x14ac:dyDescent="0.35">
      <c r="A42" s="33" t="s">
        <v>67</v>
      </c>
      <c r="B42" s="23">
        <v>1402801.08</v>
      </c>
      <c r="C42" s="23">
        <v>1576551.1700000004</v>
      </c>
      <c r="D42" s="23">
        <v>1367979.2200000002</v>
      </c>
      <c r="E42" s="24">
        <f t="shared" si="0"/>
        <v>0.12385939280856584</v>
      </c>
      <c r="F42" s="32">
        <f t="shared" si="0"/>
        <v>-0.13229634024501735</v>
      </c>
    </row>
    <row r="43" spans="1:6" ht="15" customHeight="1" x14ac:dyDescent="0.35">
      <c r="A43" s="33" t="s">
        <v>68</v>
      </c>
      <c r="B43" s="23">
        <v>338000.66</v>
      </c>
      <c r="C43" s="23">
        <v>555709.56000000006</v>
      </c>
      <c r="D43" s="23">
        <v>446315.87</v>
      </c>
      <c r="E43" s="24">
        <f t="shared" si="0"/>
        <v>0.64410791387212107</v>
      </c>
      <c r="F43" s="32">
        <f t="shared" si="0"/>
        <v>-0.19685407247627706</v>
      </c>
    </row>
    <row r="44" spans="1:6" ht="15" customHeight="1" x14ac:dyDescent="0.35">
      <c r="A44" s="33" t="s">
        <v>69</v>
      </c>
      <c r="B44" s="23">
        <v>47727.85</v>
      </c>
      <c r="C44" s="23">
        <v>42117.64</v>
      </c>
      <c r="D44" s="23">
        <v>21304.55</v>
      </c>
      <c r="E44" s="24">
        <f t="shared" si="0"/>
        <v>-0.11754583539799091</v>
      </c>
      <c r="F44" s="32">
        <f t="shared" si="0"/>
        <v>-0.49416562751379234</v>
      </c>
    </row>
    <row r="45" spans="1:6" ht="15" customHeight="1" x14ac:dyDescent="0.35">
      <c r="A45" s="186" t="s">
        <v>80</v>
      </c>
      <c r="B45" s="187">
        <v>6276927.4100000001</v>
      </c>
      <c r="C45" s="187">
        <v>6647831.7000000002</v>
      </c>
      <c r="D45" s="187">
        <v>7087434.6299999999</v>
      </c>
      <c r="E45" s="188">
        <f t="shared" si="0"/>
        <v>5.9090103449197073E-2</v>
      </c>
      <c r="F45" s="189">
        <f t="shared" si="0"/>
        <v>6.6127265225441878E-2</v>
      </c>
    </row>
    <row r="46" spans="1:6" ht="15" customHeight="1" x14ac:dyDescent="0.35">
      <c r="A46" s="171" t="s">
        <v>81</v>
      </c>
      <c r="B46" s="190">
        <v>746517.87</v>
      </c>
      <c r="C46" s="190">
        <v>409863.77</v>
      </c>
      <c r="D46" s="190">
        <v>1844034.01</v>
      </c>
      <c r="E46" s="191">
        <f t="shared" si="0"/>
        <v>-0.45096589583314328</v>
      </c>
      <c r="F46" s="192">
        <f t="shared" si="0"/>
        <v>3.4991388480128407</v>
      </c>
    </row>
    <row r="47" spans="1:6" ht="15" customHeight="1" x14ac:dyDescent="0.35">
      <c r="A47" s="175" t="s">
        <v>82</v>
      </c>
      <c r="B47" s="196"/>
      <c r="C47" s="196"/>
      <c r="D47" s="193">
        <v>101227.3</v>
      </c>
      <c r="E47" s="194" t="str">
        <f t="shared" si="0"/>
        <v/>
      </c>
      <c r="F47" s="195" t="str">
        <f t="shared" si="0"/>
        <v/>
      </c>
    </row>
    <row r="48" spans="1:6" ht="15" customHeight="1" thickBot="1" x14ac:dyDescent="0.4">
      <c r="A48" s="90" t="s">
        <v>83</v>
      </c>
      <c r="B48" s="91">
        <v>7024289.3200000003</v>
      </c>
      <c r="C48" s="91">
        <v>7057695.4699999997</v>
      </c>
      <c r="D48" s="91">
        <v>9032695.9399999995</v>
      </c>
      <c r="E48" s="92">
        <f t="shared" si="0"/>
        <v>4.755804961632748E-3</v>
      </c>
      <c r="F48" s="79">
        <f t="shared" si="0"/>
        <v>0.27983645347055464</v>
      </c>
    </row>
    <row r="49" spans="1:8" s="3" customFormat="1" ht="15" customHeight="1" thickBot="1" x14ac:dyDescent="0.4">
      <c r="A49" s="96" t="s">
        <v>28</v>
      </c>
      <c r="B49" s="97">
        <f>B27+B28+B41+B42+B43+B44+B48</f>
        <v>48677764.549999997</v>
      </c>
      <c r="C49" s="97">
        <f>C27+C28+C41+C42+C43+C44+C48</f>
        <v>54136711.650000006</v>
      </c>
      <c r="D49" s="97">
        <f>D27+D28+D41+D42+D43+D44+D48</f>
        <v>55519338.349999987</v>
      </c>
      <c r="E49" s="98">
        <f t="shared" si="0"/>
        <v>0.11214457258801969</v>
      </c>
      <c r="F49" s="99">
        <f t="shared" si="0"/>
        <v>2.5539539766264774E-2</v>
      </c>
    </row>
    <row r="50" spans="1:8" ht="15" customHeight="1" thickBot="1" x14ac:dyDescent="0.4">
      <c r="A50" s="60"/>
      <c r="B50" s="61">
        <v>48677764.549999997</v>
      </c>
      <c r="C50" s="61">
        <v>54136711.649999999</v>
      </c>
      <c r="D50" s="61">
        <v>55519338.349999994</v>
      </c>
      <c r="E50" s="62">
        <f t="shared" si="0"/>
        <v>0.11214457258801969</v>
      </c>
      <c r="F50" s="62">
        <f t="shared" si="0"/>
        <v>2.5539539766264996E-2</v>
      </c>
      <c r="H50" s="8"/>
    </row>
    <row r="51" spans="1:8" ht="15" customHeight="1" x14ac:dyDescent="0.35">
      <c r="A51" s="57" t="s">
        <v>8</v>
      </c>
      <c r="B51" s="44">
        <f>+B11</f>
        <v>25481037.780000001</v>
      </c>
      <c r="C51" s="58">
        <f>+C11</f>
        <v>26431702.710000001</v>
      </c>
      <c r="D51" s="44">
        <f>+D11</f>
        <v>25696704.669999998</v>
      </c>
      <c r="E51" s="59">
        <f t="shared" si="0"/>
        <v>3.7308721026510616E-2</v>
      </c>
      <c r="F51" s="28">
        <f t="shared" si="0"/>
        <v>-2.7807441997368176E-2</v>
      </c>
    </row>
    <row r="52" spans="1:8" ht="15" customHeight="1" x14ac:dyDescent="0.35">
      <c r="A52" s="40" t="s">
        <v>9</v>
      </c>
      <c r="B52" s="45">
        <f>+B28</f>
        <v>4180129.4799999995</v>
      </c>
      <c r="C52" s="49">
        <f>+C28</f>
        <v>4820316</v>
      </c>
      <c r="D52" s="45">
        <f>+D28</f>
        <v>4753595.54</v>
      </c>
      <c r="E52" s="53">
        <f t="shared" si="0"/>
        <v>0.15314992587263121</v>
      </c>
      <c r="F52" s="30">
        <f t="shared" si="0"/>
        <v>-1.3841511635336756E-2</v>
      </c>
    </row>
    <row r="53" spans="1:8" ht="15" customHeight="1" x14ac:dyDescent="0.35">
      <c r="A53" s="40" t="s">
        <v>10</v>
      </c>
      <c r="B53" s="45">
        <f>+B41</f>
        <v>13507324.34</v>
      </c>
      <c r="C53" s="49">
        <f>+C41</f>
        <v>16348934.830000002</v>
      </c>
      <c r="D53" s="45">
        <f>+D41</f>
        <v>15833751.82</v>
      </c>
      <c r="E53" s="53">
        <f t="shared" si="0"/>
        <v>0.21037552800779213</v>
      </c>
      <c r="F53" s="30">
        <f t="shared" si="0"/>
        <v>-3.1511717145917717E-2</v>
      </c>
    </row>
    <row r="54" spans="1:8" s="3" customFormat="1" ht="15" customHeight="1" x14ac:dyDescent="0.35">
      <c r="A54" s="41" t="s">
        <v>11</v>
      </c>
      <c r="B54" s="46">
        <f>B51-B52-B53</f>
        <v>7793583.9600000009</v>
      </c>
      <c r="C54" s="50">
        <f t="shared" ref="C54:D54" si="6">C51-C52-C53</f>
        <v>5262451.879999999</v>
      </c>
      <c r="D54" s="46">
        <f t="shared" si="6"/>
        <v>5109357.3099999987</v>
      </c>
      <c r="E54" s="54">
        <f t="shared" si="0"/>
        <v>-0.32477125966575227</v>
      </c>
      <c r="F54" s="34">
        <f t="shared" si="0"/>
        <v>-2.9091870765001748E-2</v>
      </c>
      <c r="G54" s="4"/>
    </row>
    <row r="55" spans="1:8" ht="15" customHeight="1" x14ac:dyDescent="0.35">
      <c r="A55" s="40" t="s">
        <v>12</v>
      </c>
      <c r="B55" s="45">
        <f>B15</f>
        <v>17568553.98</v>
      </c>
      <c r="C55" s="49">
        <f>C15</f>
        <v>20146357.479999997</v>
      </c>
      <c r="D55" s="45">
        <f>D15</f>
        <v>20343564.759999998</v>
      </c>
      <c r="E55" s="53">
        <f t="shared" si="0"/>
        <v>0.14672826818499463</v>
      </c>
      <c r="F55" s="30">
        <f t="shared" si="0"/>
        <v>9.7887312977433805E-3</v>
      </c>
    </row>
    <row r="56" spans="1:8" ht="15" customHeight="1" x14ac:dyDescent="0.35">
      <c r="A56" s="40" t="s">
        <v>13</v>
      </c>
      <c r="B56" s="45">
        <f>B27</f>
        <v>22177491.82</v>
      </c>
      <c r="C56" s="49">
        <f>C27</f>
        <v>23735386.979999997</v>
      </c>
      <c r="D56" s="45">
        <f>D27</f>
        <v>24063695.41</v>
      </c>
      <c r="E56" s="53">
        <f t="shared" si="0"/>
        <v>7.0246679500296949E-2</v>
      </c>
      <c r="F56" s="30">
        <f t="shared" si="0"/>
        <v>1.3832023479399824E-2</v>
      </c>
    </row>
    <row r="57" spans="1:8" ht="15" customHeight="1" x14ac:dyDescent="0.35">
      <c r="A57" s="40" t="s">
        <v>14</v>
      </c>
      <c r="B57" s="45">
        <f>B42+B43</f>
        <v>1740801.74</v>
      </c>
      <c r="C57" s="49">
        <f t="shared" ref="C57:D57" si="7">C42+C43</f>
        <v>2132260.7300000004</v>
      </c>
      <c r="D57" s="45">
        <f t="shared" si="7"/>
        <v>1814295.0900000003</v>
      </c>
      <c r="E57" s="53">
        <f t="shared" si="0"/>
        <v>0.22487281636104095</v>
      </c>
      <c r="F57" s="30">
        <f t="shared" si="0"/>
        <v>-0.14912136941151666</v>
      </c>
    </row>
    <row r="58" spans="1:8" s="3" customFormat="1" ht="15" customHeight="1" x14ac:dyDescent="0.35">
      <c r="A58" s="42" t="s">
        <v>15</v>
      </c>
      <c r="B58" s="47">
        <f>+B54+B55-B56-B57</f>
        <v>1443844.3800000011</v>
      </c>
      <c r="C58" s="51">
        <f>+C54+C55-C56-C57</f>
        <v>-458838.35000000149</v>
      </c>
      <c r="D58" s="47">
        <f t="shared" ref="D58" si="8">+D54+D55-D56-D57</f>
        <v>-425068.43000000389</v>
      </c>
      <c r="E58" s="55">
        <f t="shared" si="0"/>
        <v>-1.3177893382110897</v>
      </c>
      <c r="F58" s="35">
        <f t="shared" si="0"/>
        <v>-7.3598730358954256E-2</v>
      </c>
      <c r="G58" s="4"/>
    </row>
    <row r="59" spans="1:8" ht="15" customHeight="1" x14ac:dyDescent="0.35">
      <c r="A59" s="40" t="s">
        <v>16</v>
      </c>
      <c r="B59" s="45">
        <f t="shared" ref="B59:D60" si="9">B20</f>
        <v>3395444.3099999996</v>
      </c>
      <c r="C59" s="49">
        <f t="shared" si="9"/>
        <v>6582275.4199999999</v>
      </c>
      <c r="D59" s="45">
        <f t="shared" si="9"/>
        <v>2339600.81</v>
      </c>
      <c r="E59" s="53">
        <f t="shared" si="0"/>
        <v>0.93856085361623864</v>
      </c>
      <c r="F59" s="30">
        <f t="shared" si="0"/>
        <v>-0.64456048088002982</v>
      </c>
    </row>
    <row r="60" spans="1:8" ht="15" customHeight="1" x14ac:dyDescent="0.35">
      <c r="A60" s="40" t="s">
        <v>17</v>
      </c>
      <c r="B60" s="45">
        <f t="shared" si="9"/>
        <v>31950</v>
      </c>
      <c r="C60" s="49">
        <f t="shared" si="9"/>
        <v>40992</v>
      </c>
      <c r="D60" s="45">
        <f t="shared" si="9"/>
        <v>5992549.0199999996</v>
      </c>
      <c r="E60" s="53">
        <f t="shared" si="0"/>
        <v>0.2830046948356808</v>
      </c>
      <c r="F60" s="30">
        <f t="shared" si="0"/>
        <v>145.18825673302106</v>
      </c>
    </row>
    <row r="61" spans="1:8" ht="15" customHeight="1" x14ac:dyDescent="0.35">
      <c r="A61" s="40" t="s">
        <v>18</v>
      </c>
      <c r="B61" s="45">
        <f>B48</f>
        <v>7024289.3200000003</v>
      </c>
      <c r="C61" s="49">
        <f t="shared" ref="C61:D61" si="10">C48</f>
        <v>7057695.4699999997</v>
      </c>
      <c r="D61" s="45">
        <f t="shared" si="10"/>
        <v>9032695.9399999995</v>
      </c>
      <c r="E61" s="53">
        <f t="shared" si="0"/>
        <v>4.755804961632748E-3</v>
      </c>
      <c r="F61" s="30">
        <f t="shared" si="0"/>
        <v>0.27983645347055464</v>
      </c>
    </row>
    <row r="62" spans="1:8" ht="15" customHeight="1" x14ac:dyDescent="0.35">
      <c r="A62" s="40" t="s">
        <v>19</v>
      </c>
      <c r="B62" s="45">
        <f>B44</f>
        <v>47727.85</v>
      </c>
      <c r="C62" s="49">
        <f t="shared" ref="C62:D62" si="11">C44</f>
        <v>42117.64</v>
      </c>
      <c r="D62" s="45">
        <f t="shared" si="11"/>
        <v>21304.55</v>
      </c>
      <c r="E62" s="53">
        <f t="shared" si="0"/>
        <v>-0.11754583539799091</v>
      </c>
      <c r="F62" s="30">
        <f t="shared" si="0"/>
        <v>-0.49416562751379234</v>
      </c>
    </row>
    <row r="63" spans="1:8" s="3" customFormat="1" ht="15" customHeight="1" thickBot="1" x14ac:dyDescent="0.4">
      <c r="A63" s="43" t="s">
        <v>20</v>
      </c>
      <c r="B63" s="48">
        <f>B58+B59+B60-B61-B62</f>
        <v>-2200778.48</v>
      </c>
      <c r="C63" s="52">
        <f t="shared" ref="C63:D63" si="12">C58+C59+C60-C61-C62</f>
        <v>-935384.04000000132</v>
      </c>
      <c r="D63" s="48">
        <f t="shared" si="12"/>
        <v>-1146919.0900000038</v>
      </c>
      <c r="E63" s="56">
        <f t="shared" si="0"/>
        <v>-0.57497583309702249</v>
      </c>
      <c r="F63" s="36">
        <f t="shared" si="0"/>
        <v>0.2261478076961867</v>
      </c>
      <c r="G63" s="4"/>
    </row>
    <row r="64" spans="1:8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6276927.4100000001</v>
      </c>
      <c r="C65" s="26">
        <f t="shared" ref="C65:D65" si="13">C45</f>
        <v>6647831.7000000002</v>
      </c>
      <c r="D65" s="26">
        <f t="shared" si="13"/>
        <v>7087434.6299999999</v>
      </c>
      <c r="E65" s="27">
        <f t="shared" ref="E65:E66" si="14">+IF(ISBLANK(B65),"",+C65/B65-1)</f>
        <v>5.9090103449197073E-2</v>
      </c>
      <c r="F65" s="28">
        <f t="shared" ref="F65:F66" si="15">+IF(ISBLANK(C65),"",+D65/C65-1)</f>
        <v>6.6127265225441878E-2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C66" si="16">B16</f>
        <v>3205411.03</v>
      </c>
      <c r="C66" s="19">
        <f t="shared" si="16"/>
        <v>5726509.3099999996</v>
      </c>
      <c r="D66" s="19">
        <f>D16+D21</f>
        <v>6343451.3599999994</v>
      </c>
      <c r="E66" s="20">
        <f t="shared" si="14"/>
        <v>0.78651326036024782</v>
      </c>
      <c r="F66" s="30">
        <f t="shared" si="15"/>
        <v>0.10773440094171427</v>
      </c>
    </row>
    <row r="67" spans="1:6" ht="15" customHeight="1" thickBot="1" x14ac:dyDescent="0.4">
      <c r="A67" s="207" t="s">
        <v>85</v>
      </c>
      <c r="B67" s="208">
        <f>B65-B66</f>
        <v>3071516.3800000004</v>
      </c>
      <c r="C67" s="208">
        <f t="shared" ref="C67:D67" si="17">C65-C66</f>
        <v>921322.3900000006</v>
      </c>
      <c r="D67" s="208">
        <f t="shared" si="17"/>
        <v>743983.27000000048</v>
      </c>
      <c r="E67" s="209">
        <f>+IF(ISBLANK(B67),"",+C67/B67-1)</f>
        <v>-0.7000431461153398</v>
      </c>
      <c r="F67" s="210">
        <f>+IF(ISBLANK(C67),"",+D67/C67-1)</f>
        <v>-0.19248324139826889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5809F-A803-47A2-8A15-C2468ADEF5F7}">
  <sheetPr>
    <tabColor theme="5" tint="0.79998168889431442"/>
    <pageSetUpPr fitToPage="1"/>
  </sheetPr>
  <dimension ref="A1:G72"/>
  <sheetViews>
    <sheetView topLeftCell="A34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33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35468481.950000003</v>
      </c>
      <c r="C6" s="102">
        <v>37559027.420000002</v>
      </c>
      <c r="D6" s="101">
        <v>39725722.520000003</v>
      </c>
      <c r="E6" s="103">
        <f>+IF(ISBLANK(B6),"",+C6/B6-1)</f>
        <v>5.8940934459699834E-2</v>
      </c>
      <c r="F6" s="104">
        <f>+IF(ISBLANK(C6),"",+D6/C6-1)</f>
        <v>5.7687731787385177E-2</v>
      </c>
    </row>
    <row r="7" spans="1:6" ht="15" customHeight="1" x14ac:dyDescent="0.35">
      <c r="A7" s="105" t="s">
        <v>2</v>
      </c>
      <c r="B7" s="106">
        <v>7395304.8300000001</v>
      </c>
      <c r="C7" s="107">
        <v>8849315.3100000005</v>
      </c>
      <c r="D7" s="106">
        <v>9959624.2599999998</v>
      </c>
      <c r="E7" s="108">
        <f t="shared" ref="E7:F63" si="0">+IF(ISBLANK(B7),"",+C7/B7-1)</f>
        <v>0.19661264997510597</v>
      </c>
      <c r="F7" s="109">
        <f t="shared" si="0"/>
        <v>0.12546834541484997</v>
      </c>
    </row>
    <row r="8" spans="1:6" ht="15" customHeight="1" x14ac:dyDescent="0.35">
      <c r="A8" s="105" t="s">
        <v>4</v>
      </c>
      <c r="B8" s="106">
        <v>510934.45</v>
      </c>
      <c r="C8" s="107">
        <v>708804.25</v>
      </c>
      <c r="D8" s="106">
        <v>704140.24</v>
      </c>
      <c r="E8" s="108">
        <f t="shared" si="0"/>
        <v>0.38727042187114225</v>
      </c>
      <c r="F8" s="109">
        <f t="shared" si="0"/>
        <v>-6.5801100938658319E-3</v>
      </c>
    </row>
    <row r="9" spans="1:6" ht="15" customHeight="1" x14ac:dyDescent="0.35">
      <c r="A9" s="105" t="s">
        <v>3</v>
      </c>
      <c r="B9" s="106">
        <v>187644.34</v>
      </c>
      <c r="C9" s="107">
        <v>251712.67</v>
      </c>
      <c r="D9" s="106">
        <v>76322.039999999994</v>
      </c>
      <c r="E9" s="108">
        <f t="shared" si="0"/>
        <v>0.34143491884700605</v>
      </c>
      <c r="F9" s="109">
        <f t="shared" si="0"/>
        <v>-0.69678904125088348</v>
      </c>
    </row>
    <row r="10" spans="1:6" ht="15" customHeight="1" x14ac:dyDescent="0.35">
      <c r="A10" s="110" t="s">
        <v>5</v>
      </c>
      <c r="B10" s="111">
        <v>349859.66</v>
      </c>
      <c r="C10" s="112">
        <v>1571889.98</v>
      </c>
      <c r="D10" s="111">
        <v>697978.18</v>
      </c>
      <c r="E10" s="113">
        <f t="shared" si="0"/>
        <v>3.4929157594219351</v>
      </c>
      <c r="F10" s="114">
        <f t="shared" si="0"/>
        <v>-0.55596244719366417</v>
      </c>
    </row>
    <row r="11" spans="1:6" s="3" customFormat="1" ht="15" customHeight="1" x14ac:dyDescent="0.35">
      <c r="A11" s="64" t="s">
        <v>62</v>
      </c>
      <c r="B11" s="67">
        <f>SUM(B6:B10)</f>
        <v>43912225.230000004</v>
      </c>
      <c r="C11" s="70">
        <f t="shared" ref="C11:D11" si="1">SUM(C6:C10)</f>
        <v>48940749.630000003</v>
      </c>
      <c r="D11" s="67">
        <f t="shared" si="1"/>
        <v>51163787.240000002</v>
      </c>
      <c r="E11" s="73">
        <f t="shared" si="0"/>
        <v>0.11451308544857364</v>
      </c>
      <c r="F11" s="38">
        <f t="shared" si="0"/>
        <v>4.542303963070693E-2</v>
      </c>
    </row>
    <row r="12" spans="1:6" ht="15" customHeight="1" x14ac:dyDescent="0.35">
      <c r="A12" s="115" t="s">
        <v>29</v>
      </c>
      <c r="B12" s="116">
        <v>18548496.829999998</v>
      </c>
      <c r="C12" s="117">
        <v>22155435</v>
      </c>
      <c r="D12" s="116">
        <v>22387693</v>
      </c>
      <c r="E12" s="118">
        <f t="shared" si="0"/>
        <v>0.19445986394790804</v>
      </c>
      <c r="F12" s="119">
        <f t="shared" si="0"/>
        <v>1.0483116219564215E-2</v>
      </c>
    </row>
    <row r="13" spans="1:6" ht="15" customHeight="1" x14ac:dyDescent="0.35">
      <c r="A13" s="105" t="s">
        <v>60</v>
      </c>
      <c r="B13" s="106">
        <v>1124973.3700000001</v>
      </c>
      <c r="C13" s="107">
        <v>1155876.03</v>
      </c>
      <c r="D13" s="106">
        <v>1240856.47</v>
      </c>
      <c r="E13" s="108">
        <f t="shared" si="0"/>
        <v>2.7469681348990527E-2</v>
      </c>
      <c r="F13" s="109">
        <f t="shared" si="0"/>
        <v>7.3520375710187436E-2</v>
      </c>
    </row>
    <row r="14" spans="1:6" ht="15" customHeight="1" x14ac:dyDescent="0.35">
      <c r="A14" s="110" t="s">
        <v>61</v>
      </c>
      <c r="B14" s="111">
        <v>48106.690000002083</v>
      </c>
      <c r="C14" s="112">
        <v>1602294.1600000011</v>
      </c>
      <c r="D14" s="111">
        <v>70365.210000000006</v>
      </c>
      <c r="E14" s="113">
        <f t="shared" si="0"/>
        <v>32.307096372665249</v>
      </c>
      <c r="F14" s="114">
        <f t="shared" si="0"/>
        <v>-0.95608471168614884</v>
      </c>
    </row>
    <row r="15" spans="1:6" s="3" customFormat="1" ht="15" customHeight="1" x14ac:dyDescent="0.35">
      <c r="A15" s="64" t="s">
        <v>63</v>
      </c>
      <c r="B15" s="67">
        <f>SUM(B12:B14)</f>
        <v>19721576.890000001</v>
      </c>
      <c r="C15" s="70">
        <f t="shared" ref="C15:D15" si="2">SUM(C12:C14)</f>
        <v>24913605.190000001</v>
      </c>
      <c r="D15" s="67">
        <f t="shared" si="2"/>
        <v>23698914.68</v>
      </c>
      <c r="E15" s="73">
        <f t="shared" si="0"/>
        <v>0.2632663873157457</v>
      </c>
      <c r="F15" s="38">
        <f t="shared" si="0"/>
        <v>-4.8756111399227087E-2</v>
      </c>
    </row>
    <row r="16" spans="1:6" s="11" customFormat="1" ht="15" customHeight="1" x14ac:dyDescent="0.35">
      <c r="A16" s="120" t="s">
        <v>74</v>
      </c>
      <c r="B16" s="121">
        <v>3768197.62</v>
      </c>
      <c r="C16" s="122">
        <v>3827280.52</v>
      </c>
      <c r="D16" s="121">
        <v>4673514.25</v>
      </c>
      <c r="E16" s="123">
        <f t="shared" si="0"/>
        <v>1.5679352825449744E-2</v>
      </c>
      <c r="F16" s="124">
        <f t="shared" si="0"/>
        <v>0.22110575004311417</v>
      </c>
    </row>
    <row r="17" spans="1:6" s="11" customFormat="1" ht="15" customHeight="1" x14ac:dyDescent="0.35">
      <c r="A17" s="125" t="s">
        <v>71</v>
      </c>
      <c r="B17" s="126">
        <v>245885</v>
      </c>
      <c r="C17" s="127">
        <v>764500</v>
      </c>
      <c r="D17" s="126">
        <v>755986</v>
      </c>
      <c r="E17" s="128">
        <f t="shared" si="0"/>
        <v>2.1091770543140087</v>
      </c>
      <c r="F17" s="129">
        <f t="shared" si="0"/>
        <v>-1.1136690647482017E-2</v>
      </c>
    </row>
    <row r="18" spans="1:6" s="11" customFormat="1" ht="15" customHeight="1" x14ac:dyDescent="0.35">
      <c r="A18" s="125" t="s">
        <v>72</v>
      </c>
      <c r="B18" s="126">
        <v>93582.22</v>
      </c>
      <c r="C18" s="127">
        <v>171861.96</v>
      </c>
      <c r="D18" s="126">
        <v>136213.06</v>
      </c>
      <c r="E18" s="128">
        <f t="shared" si="0"/>
        <v>0.8364809041717538</v>
      </c>
      <c r="F18" s="129">
        <f t="shared" si="0"/>
        <v>-0.20742751915548963</v>
      </c>
    </row>
    <row r="19" spans="1:6" s="11" customFormat="1" ht="15" customHeight="1" x14ac:dyDescent="0.35">
      <c r="A19" s="130" t="s">
        <v>73</v>
      </c>
      <c r="B19" s="131">
        <v>186786.46</v>
      </c>
      <c r="C19" s="132">
        <v>190784.31</v>
      </c>
      <c r="D19" s="131">
        <v>236597.36</v>
      </c>
      <c r="E19" s="133">
        <f t="shared" si="0"/>
        <v>2.1403317992107151E-2</v>
      </c>
      <c r="F19" s="134">
        <f t="shared" si="0"/>
        <v>0.24013007149277632</v>
      </c>
    </row>
    <row r="20" spans="1:6" ht="15" customHeight="1" x14ac:dyDescent="0.35">
      <c r="A20" s="65" t="s">
        <v>84</v>
      </c>
      <c r="B20" s="68">
        <f>SUM(B16:B19)</f>
        <v>4294451.3000000007</v>
      </c>
      <c r="C20" s="71">
        <f t="shared" ref="C20:D20" si="3">SUM(C16:C19)</f>
        <v>4954426.7899999991</v>
      </c>
      <c r="D20" s="68">
        <f t="shared" si="3"/>
        <v>5802310.6699999999</v>
      </c>
      <c r="E20" s="74">
        <f t="shared" si="0"/>
        <v>0.15368098131651853</v>
      </c>
      <c r="F20" s="32">
        <f t="shared" si="0"/>
        <v>0.17113662507060701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67928253.420000002</v>
      </c>
      <c r="C22" s="87">
        <f>C11+C15+C20+C21</f>
        <v>78808781.610000014</v>
      </c>
      <c r="D22" s="86">
        <f>D11+D15+D20+D21</f>
        <v>80665012.590000004</v>
      </c>
      <c r="E22" s="88">
        <f t="shared" si="0"/>
        <v>0.16017676949127146</v>
      </c>
      <c r="F22" s="89">
        <f t="shared" si="0"/>
        <v>2.3553605855574533E-2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17535305.080000002</v>
      </c>
      <c r="C24" s="155">
        <v>18661562.130000003</v>
      </c>
      <c r="D24" s="155">
        <v>19574419.52</v>
      </c>
      <c r="E24" s="156">
        <f t="shared" si="0"/>
        <v>6.4227970078750474E-2</v>
      </c>
      <c r="F24" s="104">
        <f t="shared" si="0"/>
        <v>4.8916451025956986E-2</v>
      </c>
    </row>
    <row r="25" spans="1:6" ht="15" customHeight="1" x14ac:dyDescent="0.35">
      <c r="A25" s="157" t="s">
        <v>40</v>
      </c>
      <c r="B25" s="158">
        <v>7722194.8399999999</v>
      </c>
      <c r="C25" s="158">
        <v>8042810.5199999996</v>
      </c>
      <c r="D25" s="158">
        <v>8281411.9199999999</v>
      </c>
      <c r="E25" s="159">
        <f t="shared" si="0"/>
        <v>4.1518724487402237E-2</v>
      </c>
      <c r="F25" s="109">
        <f t="shared" si="0"/>
        <v>2.9666420638242208E-2</v>
      </c>
    </row>
    <row r="26" spans="1:6" ht="15" customHeight="1" x14ac:dyDescent="0.35">
      <c r="A26" s="160" t="s">
        <v>41</v>
      </c>
      <c r="B26" s="161">
        <v>528224.65999999992</v>
      </c>
      <c r="C26" s="161">
        <v>410059.51</v>
      </c>
      <c r="D26" s="161">
        <v>429200.07000000007</v>
      </c>
      <c r="E26" s="162">
        <f t="shared" si="0"/>
        <v>-0.22370244887847512</v>
      </c>
      <c r="F26" s="114">
        <f t="shared" si="0"/>
        <v>4.6677517612016883E-2</v>
      </c>
    </row>
    <row r="27" spans="1:6" ht="15" customHeight="1" x14ac:dyDescent="0.35">
      <c r="A27" s="31" t="s">
        <v>65</v>
      </c>
      <c r="B27" s="23">
        <f>B24+B25+B26</f>
        <v>25785724.580000002</v>
      </c>
      <c r="C27" s="23">
        <f t="shared" ref="C27:D27" si="4">C24+C25+C26</f>
        <v>27114432.160000004</v>
      </c>
      <c r="D27" s="23">
        <f t="shared" si="4"/>
        <v>28285031.509999998</v>
      </c>
      <c r="E27" s="24">
        <f t="shared" si="0"/>
        <v>5.1528805245619536E-2</v>
      </c>
      <c r="F27" s="32">
        <f t="shared" si="0"/>
        <v>4.3172556337982115E-2</v>
      </c>
    </row>
    <row r="28" spans="1:6" ht="15" customHeight="1" x14ac:dyDescent="0.35">
      <c r="A28" s="33" t="s">
        <v>66</v>
      </c>
      <c r="B28" s="23">
        <v>4933578.97</v>
      </c>
      <c r="C28" s="23">
        <v>6279445.4300000006</v>
      </c>
      <c r="D28" s="23">
        <v>6912347.3099999996</v>
      </c>
      <c r="E28" s="24">
        <f t="shared" si="0"/>
        <v>0.27279718601524716</v>
      </c>
      <c r="F28" s="32">
        <f t="shared" si="0"/>
        <v>0.10078945458723387</v>
      </c>
    </row>
    <row r="29" spans="1:6" s="6" customFormat="1" ht="15" customHeight="1" x14ac:dyDescent="0.35">
      <c r="A29" s="182" t="s">
        <v>26</v>
      </c>
      <c r="B29" s="183">
        <v>4690791.33</v>
      </c>
      <c r="C29" s="183">
        <v>6004236.6900000004</v>
      </c>
      <c r="D29" s="183">
        <v>6621154.5699999994</v>
      </c>
      <c r="E29" s="184">
        <f t="shared" si="0"/>
        <v>0.2800050711273061</v>
      </c>
      <c r="F29" s="185">
        <f t="shared" si="0"/>
        <v>0.10274709540139715</v>
      </c>
    </row>
    <row r="30" spans="1:6" s="163" customFormat="1" ht="15" customHeight="1" x14ac:dyDescent="0.35">
      <c r="A30" s="171" t="s">
        <v>76</v>
      </c>
      <c r="B30" s="172">
        <f>SUM(B31:B36)</f>
        <v>6598942.2400000002</v>
      </c>
      <c r="C30" s="172">
        <f t="shared" ref="C30:D30" si="5">SUM(C31:C36)</f>
        <v>10188801.93</v>
      </c>
      <c r="D30" s="172">
        <f t="shared" si="5"/>
        <v>9059986.6400000006</v>
      </c>
      <c r="E30" s="169">
        <f t="shared" si="0"/>
        <v>0.54400532076789321</v>
      </c>
      <c r="F30" s="170">
        <f t="shared" si="0"/>
        <v>-0.11078979626410301</v>
      </c>
    </row>
    <row r="31" spans="1:6" s="9" customFormat="1" ht="15" customHeight="1" x14ac:dyDescent="0.35">
      <c r="A31" s="165" t="s">
        <v>21</v>
      </c>
      <c r="B31" s="166">
        <v>2589264.56</v>
      </c>
      <c r="C31" s="166">
        <v>5151610.03</v>
      </c>
      <c r="D31" s="166">
        <v>4578722.2699999996</v>
      </c>
      <c r="E31" s="167">
        <f t="shared" si="0"/>
        <v>0.9896035768550433</v>
      </c>
      <c r="F31" s="168">
        <f t="shared" si="0"/>
        <v>-0.11120557586149449</v>
      </c>
    </row>
    <row r="32" spans="1:6" s="9" customFormat="1" ht="15" customHeight="1" x14ac:dyDescent="0.35">
      <c r="A32" s="165" t="s">
        <v>22</v>
      </c>
      <c r="B32" s="166">
        <v>56408.53</v>
      </c>
      <c r="C32" s="166">
        <v>85327.89</v>
      </c>
      <c r="D32" s="166">
        <v>46996.5</v>
      </c>
      <c r="E32" s="167">
        <f t="shared" si="0"/>
        <v>0.51267707206693736</v>
      </c>
      <c r="F32" s="168">
        <f t="shared" si="0"/>
        <v>-0.44922463218063868</v>
      </c>
    </row>
    <row r="33" spans="1:6" s="9" customFormat="1" ht="15" customHeight="1" x14ac:dyDescent="0.35">
      <c r="A33" s="165" t="s">
        <v>23</v>
      </c>
      <c r="B33" s="166">
        <v>2103071.33</v>
      </c>
      <c r="C33" s="166">
        <v>2983061.38</v>
      </c>
      <c r="D33" s="166">
        <v>2757595.72</v>
      </c>
      <c r="E33" s="167">
        <f t="shared" si="0"/>
        <v>0.41843090980656372</v>
      </c>
      <c r="F33" s="168">
        <f t="shared" si="0"/>
        <v>-7.5581971430973227E-2</v>
      </c>
    </row>
    <row r="34" spans="1:6" s="9" customFormat="1" ht="15" customHeight="1" x14ac:dyDescent="0.35">
      <c r="A34" s="165" t="s">
        <v>24</v>
      </c>
      <c r="B34" s="166">
        <v>398940.59</v>
      </c>
      <c r="C34" s="166">
        <v>413764.8</v>
      </c>
      <c r="D34" s="166">
        <v>307948.62</v>
      </c>
      <c r="E34" s="167">
        <f t="shared" si="0"/>
        <v>3.7158941385232236E-2</v>
      </c>
      <c r="F34" s="168">
        <f t="shared" si="0"/>
        <v>-0.25573992761104858</v>
      </c>
    </row>
    <row r="35" spans="1:6" s="9" customFormat="1" ht="15" customHeight="1" x14ac:dyDescent="0.35">
      <c r="A35" s="165" t="s">
        <v>25</v>
      </c>
      <c r="B35" s="166">
        <v>1451257.23</v>
      </c>
      <c r="C35" s="166">
        <v>1555037.83</v>
      </c>
      <c r="D35" s="166">
        <v>1368723.53</v>
      </c>
      <c r="E35" s="167">
        <f t="shared" si="0"/>
        <v>7.1510823756585351E-2</v>
      </c>
      <c r="F35" s="168">
        <f t="shared" si="0"/>
        <v>-0.11981335528023784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15659416.6</v>
      </c>
      <c r="C37" s="172">
        <v>16347719.689999999</v>
      </c>
      <c r="D37" s="172">
        <v>16346182.32</v>
      </c>
      <c r="E37" s="169">
        <f t="shared" si="0"/>
        <v>4.3954580657877163E-2</v>
      </c>
      <c r="F37" s="170">
        <f t="shared" si="0"/>
        <v>-9.4041862054861092E-5</v>
      </c>
    </row>
    <row r="38" spans="1:6" s="7" customFormat="1" ht="15" customHeight="1" x14ac:dyDescent="0.35">
      <c r="A38" s="173" t="s">
        <v>70</v>
      </c>
      <c r="B38" s="174">
        <v>15140369.84</v>
      </c>
      <c r="C38" s="174">
        <v>15640856.720000001</v>
      </c>
      <c r="D38" s="174">
        <v>15536086.379999999</v>
      </c>
      <c r="E38" s="169">
        <f t="shared" si="0"/>
        <v>3.3056450092635359E-2</v>
      </c>
      <c r="F38" s="170">
        <f t="shared" si="0"/>
        <v>-6.6985039167344329E-3</v>
      </c>
    </row>
    <row r="39" spans="1:6" s="10" customFormat="1" ht="15" customHeight="1" x14ac:dyDescent="0.35">
      <c r="A39" s="171" t="s">
        <v>78</v>
      </c>
      <c r="B39" s="172">
        <v>2754969.2199999997</v>
      </c>
      <c r="C39" s="172">
        <v>4381049.59</v>
      </c>
      <c r="D39" s="172">
        <v>4374700.2299999995</v>
      </c>
      <c r="E39" s="169">
        <f t="shared" si="0"/>
        <v>0.59023540379155315</v>
      </c>
      <c r="F39" s="170">
        <f t="shared" si="0"/>
        <v>-1.4492782767154821E-3</v>
      </c>
    </row>
    <row r="40" spans="1:6" s="10" customFormat="1" ht="15" customHeight="1" x14ac:dyDescent="0.35">
      <c r="A40" s="175" t="s">
        <v>79</v>
      </c>
      <c r="B40" s="176">
        <v>3700638.8900000043</v>
      </c>
      <c r="C40" s="176">
        <v>3921054.850000002</v>
      </c>
      <c r="D40" s="176">
        <v>4439056.0299999956</v>
      </c>
      <c r="E40" s="177">
        <f t="shared" si="0"/>
        <v>5.9561596403154393E-2</v>
      </c>
      <c r="F40" s="178">
        <f t="shared" si="0"/>
        <v>0.13210760874716998</v>
      </c>
    </row>
    <row r="41" spans="1:6" ht="15" customHeight="1" x14ac:dyDescent="0.35">
      <c r="A41" s="31" t="s">
        <v>75</v>
      </c>
      <c r="B41" s="23">
        <f>+B30+B37+B39+B40</f>
        <v>28713966.950000003</v>
      </c>
      <c r="C41" s="23">
        <f>+C30+C37+C39+C40</f>
        <v>34838626.060000002</v>
      </c>
      <c r="D41" s="23">
        <f>+D30+D37+D39+D40</f>
        <v>34219925.219999999</v>
      </c>
      <c r="E41" s="24">
        <f t="shared" si="0"/>
        <v>0.21329895380408237</v>
      </c>
      <c r="F41" s="32">
        <f t="shared" si="0"/>
        <v>-1.7759048216610562E-2</v>
      </c>
    </row>
    <row r="42" spans="1:6" ht="15" customHeight="1" x14ac:dyDescent="0.35">
      <c r="A42" s="33" t="s">
        <v>67</v>
      </c>
      <c r="B42" s="23">
        <v>1009889.6699999999</v>
      </c>
      <c r="C42" s="23">
        <v>1125274.55</v>
      </c>
      <c r="D42" s="23">
        <v>1472875.75</v>
      </c>
      <c r="E42" s="24">
        <f t="shared" si="0"/>
        <v>0.11425493638329831</v>
      </c>
      <c r="F42" s="32">
        <f t="shared" si="0"/>
        <v>0.3089034582715835</v>
      </c>
    </row>
    <row r="43" spans="1:6" ht="15" customHeight="1" x14ac:dyDescent="0.35">
      <c r="A43" s="33" t="s">
        <v>68</v>
      </c>
      <c r="B43" s="23">
        <v>385758.04000000004</v>
      </c>
      <c r="C43" s="23">
        <v>-101868.71</v>
      </c>
      <c r="D43" s="23">
        <v>627616</v>
      </c>
      <c r="E43" s="24">
        <f t="shared" si="0"/>
        <v>-1.2640741071786863</v>
      </c>
      <c r="F43" s="32">
        <f t="shared" si="0"/>
        <v>-7.1610282490079626</v>
      </c>
    </row>
    <row r="44" spans="1:6" ht="15" customHeight="1" x14ac:dyDescent="0.35">
      <c r="A44" s="33" t="s">
        <v>69</v>
      </c>
      <c r="B44" s="23">
        <v>320261</v>
      </c>
      <c r="C44" s="23">
        <v>331169.62</v>
      </c>
      <c r="D44" s="23">
        <v>363596.34</v>
      </c>
      <c r="E44" s="24">
        <f t="shared" si="0"/>
        <v>3.4061655961856063E-2</v>
      </c>
      <c r="F44" s="32">
        <f t="shared" si="0"/>
        <v>9.7915744807751448E-2</v>
      </c>
    </row>
    <row r="45" spans="1:6" ht="15" customHeight="1" x14ac:dyDescent="0.35">
      <c r="A45" s="186" t="s">
        <v>80</v>
      </c>
      <c r="B45" s="187">
        <v>6594906.04</v>
      </c>
      <c r="C45" s="187">
        <v>6773483.75</v>
      </c>
      <c r="D45" s="187">
        <v>7807358.2300000004</v>
      </c>
      <c r="E45" s="188">
        <f t="shared" si="0"/>
        <v>2.707812801530074E-2</v>
      </c>
      <c r="F45" s="189">
        <f t="shared" si="0"/>
        <v>0.15263555921279059</v>
      </c>
    </row>
    <row r="46" spans="1:6" ht="15" customHeight="1" x14ac:dyDescent="0.35">
      <c r="A46" s="171" t="s">
        <v>81</v>
      </c>
      <c r="B46" s="190">
        <v>314500</v>
      </c>
      <c r="C46" s="190">
        <v>465446</v>
      </c>
      <c r="D46" s="190">
        <v>642322</v>
      </c>
      <c r="E46" s="191">
        <f t="shared" si="0"/>
        <v>0.4799554848966614</v>
      </c>
      <c r="F46" s="192">
        <f t="shared" si="0"/>
        <v>0.38001400806967944</v>
      </c>
    </row>
    <row r="47" spans="1:6" ht="15" customHeight="1" x14ac:dyDescent="0.35">
      <c r="A47" s="175" t="s">
        <v>82</v>
      </c>
      <c r="B47" s="193">
        <v>171861.96</v>
      </c>
      <c r="C47" s="193">
        <v>136213.06</v>
      </c>
      <c r="D47" s="193">
        <v>146651.34</v>
      </c>
      <c r="E47" s="194">
        <f t="shared" si="0"/>
        <v>-0.20742751915548963</v>
      </c>
      <c r="F47" s="195">
        <f t="shared" si="0"/>
        <v>7.6632005770959077E-2</v>
      </c>
    </row>
    <row r="48" spans="1:6" ht="15" customHeight="1" thickBot="1" x14ac:dyDescent="0.4">
      <c r="A48" s="90" t="s">
        <v>83</v>
      </c>
      <c r="B48" s="91">
        <v>7081268</v>
      </c>
      <c r="C48" s="91">
        <v>7375142.8099999996</v>
      </c>
      <c r="D48" s="91">
        <v>8596331.5700000003</v>
      </c>
      <c r="E48" s="92">
        <f t="shared" si="0"/>
        <v>4.1500308984210088E-2</v>
      </c>
      <c r="F48" s="79">
        <f t="shared" si="0"/>
        <v>0.16558171027470592</v>
      </c>
    </row>
    <row r="49" spans="1:7" s="3" customFormat="1" ht="15" customHeight="1" thickBot="1" x14ac:dyDescent="0.4">
      <c r="A49" s="96" t="s">
        <v>28</v>
      </c>
      <c r="B49" s="97">
        <f>B27+B28+B41+B42+B43+B44+B48</f>
        <v>68230447.210000008</v>
      </c>
      <c r="C49" s="97">
        <f>C27+C28+C41+C42+C43+C44+C48</f>
        <v>76962221.920000017</v>
      </c>
      <c r="D49" s="97">
        <f>D27+D28+D41+D42+D43+D44+D48</f>
        <v>80477723.699999988</v>
      </c>
      <c r="E49" s="98">
        <f t="shared" si="0"/>
        <v>0.12797475419038817</v>
      </c>
      <c r="F49" s="99">
        <f t="shared" si="0"/>
        <v>4.5678278151249696E-2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43912225.230000004</v>
      </c>
      <c r="C51" s="58">
        <f>+C11</f>
        <v>48940749.630000003</v>
      </c>
      <c r="D51" s="44">
        <f>+D11</f>
        <v>51163787.240000002</v>
      </c>
      <c r="E51" s="59">
        <f t="shared" si="0"/>
        <v>0.11451308544857364</v>
      </c>
      <c r="F51" s="28">
        <f t="shared" si="0"/>
        <v>4.542303963070693E-2</v>
      </c>
    </row>
    <row r="52" spans="1:7" ht="15" customHeight="1" x14ac:dyDescent="0.35">
      <c r="A52" s="40" t="s">
        <v>9</v>
      </c>
      <c r="B52" s="45">
        <f>+B28</f>
        <v>4933578.97</v>
      </c>
      <c r="C52" s="49">
        <f>+C28</f>
        <v>6279445.4300000006</v>
      </c>
      <c r="D52" s="45">
        <f>+D28</f>
        <v>6912347.3099999996</v>
      </c>
      <c r="E52" s="53">
        <f t="shared" si="0"/>
        <v>0.27279718601524716</v>
      </c>
      <c r="F52" s="30">
        <f t="shared" si="0"/>
        <v>0.10078945458723387</v>
      </c>
    </row>
    <row r="53" spans="1:7" ht="15" customHeight="1" x14ac:dyDescent="0.35">
      <c r="A53" s="40" t="s">
        <v>10</v>
      </c>
      <c r="B53" s="45">
        <f>+B41</f>
        <v>28713966.950000003</v>
      </c>
      <c r="C53" s="49">
        <f>+C41</f>
        <v>34838626.060000002</v>
      </c>
      <c r="D53" s="45">
        <f>+D41</f>
        <v>34219925.219999999</v>
      </c>
      <c r="E53" s="53">
        <f t="shared" si="0"/>
        <v>0.21329895380408237</v>
      </c>
      <c r="F53" s="30">
        <f t="shared" si="0"/>
        <v>-1.7759048216610562E-2</v>
      </c>
    </row>
    <row r="54" spans="1:7" s="3" customFormat="1" ht="15" customHeight="1" x14ac:dyDescent="0.35">
      <c r="A54" s="41" t="s">
        <v>11</v>
      </c>
      <c r="B54" s="46">
        <f>B51-B52-B53</f>
        <v>10264679.310000002</v>
      </c>
      <c r="C54" s="50">
        <f t="shared" ref="C54:D54" si="6">C51-C52-C53</f>
        <v>7822678.1400000006</v>
      </c>
      <c r="D54" s="46">
        <f t="shared" si="6"/>
        <v>10031514.710000001</v>
      </c>
      <c r="E54" s="54">
        <f t="shared" si="0"/>
        <v>-0.23790330864218701</v>
      </c>
      <c r="F54" s="34">
        <f t="shared" si="0"/>
        <v>0.28236321761795002</v>
      </c>
      <c r="G54" s="4"/>
    </row>
    <row r="55" spans="1:7" ht="15" customHeight="1" x14ac:dyDescent="0.35">
      <c r="A55" s="40" t="s">
        <v>12</v>
      </c>
      <c r="B55" s="45">
        <f>B15</f>
        <v>19721576.890000001</v>
      </c>
      <c r="C55" s="49">
        <f>C15</f>
        <v>24913605.190000001</v>
      </c>
      <c r="D55" s="45">
        <f>D15</f>
        <v>23698914.68</v>
      </c>
      <c r="E55" s="53">
        <f t="shared" si="0"/>
        <v>0.2632663873157457</v>
      </c>
      <c r="F55" s="30">
        <f t="shared" si="0"/>
        <v>-4.8756111399227087E-2</v>
      </c>
    </row>
    <row r="56" spans="1:7" ht="15" customHeight="1" x14ac:dyDescent="0.35">
      <c r="A56" s="40" t="s">
        <v>13</v>
      </c>
      <c r="B56" s="45">
        <f>B27</f>
        <v>25785724.580000002</v>
      </c>
      <c r="C56" s="49">
        <f>C27</f>
        <v>27114432.160000004</v>
      </c>
      <c r="D56" s="45">
        <f>D27</f>
        <v>28285031.509999998</v>
      </c>
      <c r="E56" s="53">
        <f t="shared" si="0"/>
        <v>5.1528805245619536E-2</v>
      </c>
      <c r="F56" s="30">
        <f t="shared" si="0"/>
        <v>4.3172556337982115E-2</v>
      </c>
    </row>
    <row r="57" spans="1:7" ht="15" customHeight="1" x14ac:dyDescent="0.35">
      <c r="A57" s="40" t="s">
        <v>14</v>
      </c>
      <c r="B57" s="45">
        <f>B42+B43</f>
        <v>1395647.71</v>
      </c>
      <c r="C57" s="49">
        <f t="shared" ref="C57:D57" si="7">C42+C43</f>
        <v>1023405.8400000001</v>
      </c>
      <c r="D57" s="45">
        <f t="shared" si="7"/>
        <v>2100491.75</v>
      </c>
      <c r="E57" s="53">
        <f t="shared" si="0"/>
        <v>-0.26671621164340953</v>
      </c>
      <c r="F57" s="30">
        <f t="shared" si="0"/>
        <v>1.0524523780321595</v>
      </c>
    </row>
    <row r="58" spans="1:7" s="3" customFormat="1" ht="15" customHeight="1" x14ac:dyDescent="0.35">
      <c r="A58" s="42" t="s">
        <v>15</v>
      </c>
      <c r="B58" s="47">
        <f>+B54+B55-B56-B57</f>
        <v>2804883.9100000011</v>
      </c>
      <c r="C58" s="51">
        <f>+C54+C55-C56-C57</f>
        <v>4598445.3299999982</v>
      </c>
      <c r="D58" s="47">
        <f t="shared" ref="D58" si="8">+D54+D55-D56-D57</f>
        <v>3344906.1300000027</v>
      </c>
      <c r="E58" s="55">
        <f t="shared" si="0"/>
        <v>0.63944230048365758</v>
      </c>
      <c r="F58" s="35">
        <f t="shared" si="0"/>
        <v>-0.27260065305593095</v>
      </c>
      <c r="G58" s="4"/>
    </row>
    <row r="59" spans="1:7" ht="15" customHeight="1" x14ac:dyDescent="0.35">
      <c r="A59" s="40" t="s">
        <v>16</v>
      </c>
      <c r="B59" s="45">
        <f t="shared" ref="B59:D60" si="9">B20</f>
        <v>4294451.3000000007</v>
      </c>
      <c r="C59" s="49">
        <f t="shared" si="9"/>
        <v>4954426.7899999991</v>
      </c>
      <c r="D59" s="45">
        <f t="shared" si="9"/>
        <v>5802310.6699999999</v>
      </c>
      <c r="E59" s="53">
        <f t="shared" si="0"/>
        <v>0.15368098131651853</v>
      </c>
      <c r="F59" s="30">
        <f t="shared" si="0"/>
        <v>0.17113662507060701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7081268</v>
      </c>
      <c r="C61" s="49">
        <f t="shared" ref="C61:D61" si="10">C48</f>
        <v>7375142.8099999996</v>
      </c>
      <c r="D61" s="45">
        <f t="shared" si="10"/>
        <v>8596331.5700000003</v>
      </c>
      <c r="E61" s="53">
        <f t="shared" si="0"/>
        <v>4.1500308984210088E-2</v>
      </c>
      <c r="F61" s="30">
        <f t="shared" si="0"/>
        <v>0.16558171027470592</v>
      </c>
    </row>
    <row r="62" spans="1:7" ht="15" customHeight="1" x14ac:dyDescent="0.35">
      <c r="A62" s="40" t="s">
        <v>19</v>
      </c>
      <c r="B62" s="45">
        <f>B44</f>
        <v>320261</v>
      </c>
      <c r="C62" s="49">
        <f t="shared" ref="C62:D62" si="11">C44</f>
        <v>331169.62</v>
      </c>
      <c r="D62" s="45">
        <f t="shared" si="11"/>
        <v>363596.34</v>
      </c>
      <c r="E62" s="53">
        <f t="shared" si="0"/>
        <v>3.4061655961856063E-2</v>
      </c>
      <c r="F62" s="30">
        <f t="shared" si="0"/>
        <v>9.7915744807751448E-2</v>
      </c>
    </row>
    <row r="63" spans="1:7" s="3" customFormat="1" ht="15" customHeight="1" thickBot="1" x14ac:dyDescent="0.4">
      <c r="A63" s="43" t="s">
        <v>20</v>
      </c>
      <c r="B63" s="48">
        <f>B58+B59+B60-B61-B62</f>
        <v>-302193.78999999817</v>
      </c>
      <c r="C63" s="52">
        <f t="shared" ref="C63:D63" si="12">C58+C59+C60-C61-C62</f>
        <v>1846559.6899999976</v>
      </c>
      <c r="D63" s="48">
        <f t="shared" si="12"/>
        <v>187288.89000000228</v>
      </c>
      <c r="E63" s="56">
        <f t="shared" si="0"/>
        <v>-7.1105150109140522</v>
      </c>
      <c r="F63" s="36">
        <f t="shared" si="0"/>
        <v>-0.89857414790636825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6594906.04</v>
      </c>
      <c r="C65" s="26">
        <f t="shared" ref="C65:D65" si="13">C45</f>
        <v>6773483.75</v>
      </c>
      <c r="D65" s="26">
        <f t="shared" si="13"/>
        <v>7807358.2300000004</v>
      </c>
      <c r="E65" s="27">
        <f t="shared" ref="E65:E66" si="14">+IF(ISBLANK(B65),"",+C65/B65-1)</f>
        <v>2.707812801530074E-2</v>
      </c>
      <c r="F65" s="28">
        <f t="shared" ref="F65:F66" si="15">+IF(ISBLANK(C65),"",+D65/C65-1)</f>
        <v>0.15263555921279059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3768197.62</v>
      </c>
      <c r="C66" s="19">
        <f t="shared" si="16"/>
        <v>3827280.52</v>
      </c>
      <c r="D66" s="19">
        <f t="shared" si="16"/>
        <v>4673514.25</v>
      </c>
      <c r="E66" s="20">
        <f t="shared" si="14"/>
        <v>1.5679352825449744E-2</v>
      </c>
      <c r="F66" s="30">
        <f t="shared" si="15"/>
        <v>0.22110575004311417</v>
      </c>
    </row>
    <row r="67" spans="1:6" ht="15" customHeight="1" thickBot="1" x14ac:dyDescent="0.4">
      <c r="A67" s="207" t="s">
        <v>85</v>
      </c>
      <c r="B67" s="208">
        <f>B65-B66</f>
        <v>2826708.42</v>
      </c>
      <c r="C67" s="208">
        <f t="shared" ref="C67:D67" si="17">C65-C66</f>
        <v>2946203.23</v>
      </c>
      <c r="D67" s="208">
        <f t="shared" si="17"/>
        <v>3133843.9800000004</v>
      </c>
      <c r="E67" s="209">
        <f>+IF(ISBLANK(B67),"",+C67/B67-1)</f>
        <v>4.2273482880133884E-2</v>
      </c>
      <c r="F67" s="210">
        <f>+IF(ISBLANK(C67),"",+D67/C67-1)</f>
        <v>6.3689004237498015E-2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C7D1A-673A-4528-888E-E1DE28CA707A}">
  <sheetPr>
    <tabColor theme="5" tint="0.79998168889431442"/>
    <pageSetUpPr fitToPage="1"/>
  </sheetPr>
  <dimension ref="A1:G72"/>
  <sheetViews>
    <sheetView topLeftCell="A31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34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11541813.08</v>
      </c>
      <c r="C6" s="102">
        <v>11760382.529999999</v>
      </c>
      <c r="D6" s="101">
        <v>12244240.15</v>
      </c>
      <c r="E6" s="103">
        <f>+IF(ISBLANK(B6),"",+C6/B6-1)</f>
        <v>1.8937185040601934E-2</v>
      </c>
      <c r="F6" s="104">
        <f>+IF(ISBLANK(C6),"",+D6/C6-1)</f>
        <v>4.114301713959656E-2</v>
      </c>
    </row>
    <row r="7" spans="1:6" ht="15" customHeight="1" x14ac:dyDescent="0.35">
      <c r="A7" s="105" t="s">
        <v>2</v>
      </c>
      <c r="B7" s="106">
        <v>3519205.94</v>
      </c>
      <c r="C7" s="107">
        <v>3536490.61</v>
      </c>
      <c r="D7" s="106">
        <v>4291127.1399999997</v>
      </c>
      <c r="E7" s="108">
        <f t="shared" ref="E7:F63" si="0">+IF(ISBLANK(B7),"",+C7/B7-1)</f>
        <v>4.9115255812508529E-3</v>
      </c>
      <c r="F7" s="109">
        <f t="shared" si="0"/>
        <v>0.21338570159528847</v>
      </c>
    </row>
    <row r="8" spans="1:6" ht="15" customHeight="1" x14ac:dyDescent="0.35">
      <c r="A8" s="105" t="s">
        <v>4</v>
      </c>
      <c r="B8" s="106">
        <v>268162.17</v>
      </c>
      <c r="C8" s="107">
        <v>301059.42</v>
      </c>
      <c r="D8" s="106">
        <v>273149.38</v>
      </c>
      <c r="E8" s="108">
        <f t="shared" si="0"/>
        <v>0.12267669970003592</v>
      </c>
      <c r="F8" s="109">
        <f t="shared" si="0"/>
        <v>-9.270608440021566E-2</v>
      </c>
    </row>
    <row r="9" spans="1:6" ht="15" customHeight="1" x14ac:dyDescent="0.35">
      <c r="A9" s="105" t="s">
        <v>3</v>
      </c>
      <c r="B9" s="106">
        <v>1241979.46</v>
      </c>
      <c r="C9" s="107">
        <v>1431346.93</v>
      </c>
      <c r="D9" s="106">
        <v>1636052.89</v>
      </c>
      <c r="E9" s="108">
        <f t="shared" si="0"/>
        <v>0.15247230417160029</v>
      </c>
      <c r="F9" s="109">
        <f t="shared" si="0"/>
        <v>0.14301631261402159</v>
      </c>
    </row>
    <row r="10" spans="1:6" ht="15" customHeight="1" x14ac:dyDescent="0.35">
      <c r="A10" s="110" t="s">
        <v>5</v>
      </c>
      <c r="B10" s="111">
        <v>505369.88</v>
      </c>
      <c r="C10" s="112">
        <f>209056.03+1400</f>
        <v>210456.03</v>
      </c>
      <c r="D10" s="111">
        <v>352729.88</v>
      </c>
      <c r="E10" s="113">
        <f t="shared" si="0"/>
        <v>-0.58356040134406117</v>
      </c>
      <c r="F10" s="114">
        <f t="shared" si="0"/>
        <v>0.67602648401188592</v>
      </c>
    </row>
    <row r="11" spans="1:6" s="3" customFormat="1" ht="15" customHeight="1" x14ac:dyDescent="0.35">
      <c r="A11" s="64" t="s">
        <v>62</v>
      </c>
      <c r="B11" s="67">
        <f>SUM(B6:B10)</f>
        <v>17076530.529999997</v>
      </c>
      <c r="C11" s="70">
        <f t="shared" ref="C11:D11" si="1">SUM(C6:C10)</f>
        <v>17239735.52</v>
      </c>
      <c r="D11" s="67">
        <f t="shared" si="1"/>
        <v>18797299.439999998</v>
      </c>
      <c r="E11" s="73">
        <f t="shared" si="0"/>
        <v>9.5572686567264586E-3</v>
      </c>
      <c r="F11" s="38">
        <f t="shared" si="0"/>
        <v>9.0347321059134122E-2</v>
      </c>
    </row>
    <row r="12" spans="1:6" ht="15" customHeight="1" x14ac:dyDescent="0.35">
      <c r="A12" s="115" t="s">
        <v>29</v>
      </c>
      <c r="B12" s="116">
        <v>9194880.1799999997</v>
      </c>
      <c r="C12" s="117">
        <v>10758868</v>
      </c>
      <c r="D12" s="116">
        <v>10278372</v>
      </c>
      <c r="E12" s="118">
        <f t="shared" si="0"/>
        <v>0.17009333339676003</v>
      </c>
      <c r="F12" s="119">
        <f t="shared" si="0"/>
        <v>-4.4660460561464221E-2</v>
      </c>
    </row>
    <row r="13" spans="1:6" ht="15" customHeight="1" x14ac:dyDescent="0.35">
      <c r="A13" s="105" t="s">
        <v>60</v>
      </c>
      <c r="B13" s="106">
        <v>376644.86</v>
      </c>
      <c r="C13" s="107">
        <v>394897.45</v>
      </c>
      <c r="D13" s="106">
        <v>406327.27</v>
      </c>
      <c r="E13" s="108">
        <f t="shared" si="0"/>
        <v>4.8461009132050981E-2</v>
      </c>
      <c r="F13" s="109">
        <f t="shared" si="0"/>
        <v>2.8943767552816579E-2</v>
      </c>
    </row>
    <row r="14" spans="1:6" ht="15" customHeight="1" x14ac:dyDescent="0.35">
      <c r="A14" s="110" t="s">
        <v>61</v>
      </c>
      <c r="B14" s="111">
        <v>155635.18999999994</v>
      </c>
      <c r="C14" s="112">
        <v>420267.85000000027</v>
      </c>
      <c r="D14" s="111">
        <v>237221.29000000053</v>
      </c>
      <c r="E14" s="113">
        <f t="shared" si="0"/>
        <v>1.7003394926301718</v>
      </c>
      <c r="F14" s="114">
        <f t="shared" si="0"/>
        <v>-0.43554737770210028</v>
      </c>
    </row>
    <row r="15" spans="1:6" s="3" customFormat="1" ht="15" customHeight="1" x14ac:dyDescent="0.35">
      <c r="A15" s="64" t="s">
        <v>63</v>
      </c>
      <c r="B15" s="67">
        <f>SUM(B12:B14)</f>
        <v>9727160.2299999986</v>
      </c>
      <c r="C15" s="70">
        <f t="shared" ref="C15:D15" si="2">SUM(C12:C14)</f>
        <v>11574033.299999999</v>
      </c>
      <c r="D15" s="67">
        <f t="shared" si="2"/>
        <v>10921920.560000001</v>
      </c>
      <c r="E15" s="73">
        <f t="shared" si="0"/>
        <v>0.18986765164040076</v>
      </c>
      <c r="F15" s="38">
        <f t="shared" si="0"/>
        <v>-5.6342739224709004E-2</v>
      </c>
    </row>
    <row r="16" spans="1:6" s="11" customFormat="1" ht="15" customHeight="1" x14ac:dyDescent="0.35">
      <c r="A16" s="120" t="s">
        <v>74</v>
      </c>
      <c r="B16" s="121">
        <v>4085651.9299999997</v>
      </c>
      <c r="C16" s="122">
        <v>4113228.4</v>
      </c>
      <c r="D16" s="121">
        <v>4355867.72</v>
      </c>
      <c r="E16" s="123">
        <f t="shared" si="0"/>
        <v>6.7495886758028867E-3</v>
      </c>
      <c r="F16" s="124">
        <f t="shared" si="0"/>
        <v>5.8989994331459794E-2</v>
      </c>
    </row>
    <row r="17" spans="1:6" s="11" customFormat="1" ht="15" customHeight="1" x14ac:dyDescent="0.35">
      <c r="A17" s="125" t="s">
        <v>71</v>
      </c>
      <c r="B17" s="126">
        <v>647527.31000000006</v>
      </c>
      <c r="C17" s="127">
        <v>847758.64</v>
      </c>
      <c r="D17" s="126">
        <v>911276.91</v>
      </c>
      <c r="E17" s="128">
        <f t="shared" si="0"/>
        <v>0.30922453293900443</v>
      </c>
      <c r="F17" s="129">
        <f t="shared" si="0"/>
        <v>7.4924945618955796E-2</v>
      </c>
    </row>
    <row r="18" spans="1:6" s="11" customFormat="1" ht="15" customHeight="1" x14ac:dyDescent="0.35">
      <c r="A18" s="125" t="s">
        <v>72</v>
      </c>
      <c r="B18" s="126">
        <v>8948.01</v>
      </c>
      <c r="C18" s="127">
        <v>4009.39</v>
      </c>
      <c r="D18" s="126">
        <v>4419.3100000000004</v>
      </c>
      <c r="E18" s="128">
        <f t="shared" si="0"/>
        <v>-0.55192383557908409</v>
      </c>
      <c r="F18" s="129">
        <f t="shared" si="0"/>
        <v>0.10223999161967301</v>
      </c>
    </row>
    <row r="19" spans="1:6" s="11" customFormat="1" ht="15" customHeight="1" x14ac:dyDescent="0.35">
      <c r="A19" s="130" t="s">
        <v>73</v>
      </c>
      <c r="B19" s="131">
        <v>269622.17</v>
      </c>
      <c r="C19" s="132">
        <v>256247</v>
      </c>
      <c r="D19" s="131">
        <v>197228.52</v>
      </c>
      <c r="E19" s="133">
        <f t="shared" si="0"/>
        <v>-4.9607085352068703E-2</v>
      </c>
      <c r="F19" s="134">
        <f t="shared" si="0"/>
        <v>-0.23031871592643038</v>
      </c>
    </row>
    <row r="20" spans="1:6" ht="15" customHeight="1" x14ac:dyDescent="0.35">
      <c r="A20" s="65" t="s">
        <v>84</v>
      </c>
      <c r="B20" s="68">
        <f>SUM(B16:B19)</f>
        <v>5011749.42</v>
      </c>
      <c r="C20" s="71">
        <f t="shared" ref="C20:D20" si="3">SUM(C16:C19)</f>
        <v>5221243.43</v>
      </c>
      <c r="D20" s="68">
        <f t="shared" si="3"/>
        <v>5468792.459999999</v>
      </c>
      <c r="E20" s="74">
        <f t="shared" si="0"/>
        <v>4.180057549645011E-2</v>
      </c>
      <c r="F20" s="32">
        <f t="shared" si="0"/>
        <v>4.7411892074911144E-2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31815440.18</v>
      </c>
      <c r="C22" s="87">
        <f>C11+C15+C20+C21</f>
        <v>34035012.25</v>
      </c>
      <c r="D22" s="86">
        <f>D11+D15+D20+D21</f>
        <v>35188012.460000001</v>
      </c>
      <c r="E22" s="88">
        <f t="shared" si="0"/>
        <v>6.9763990610925974E-2</v>
      </c>
      <c r="F22" s="89">
        <f t="shared" si="0"/>
        <v>3.3876885412315483E-2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8306021.6299999999</v>
      </c>
      <c r="C24" s="155">
        <v>8730011.0800000001</v>
      </c>
      <c r="D24" s="155">
        <v>9235793.3800000008</v>
      </c>
      <c r="E24" s="156">
        <f t="shared" si="0"/>
        <v>5.104603249149009E-2</v>
      </c>
      <c r="F24" s="104">
        <f t="shared" si="0"/>
        <v>5.7936043306831664E-2</v>
      </c>
    </row>
    <row r="25" spans="1:6" ht="15" customHeight="1" x14ac:dyDescent="0.35">
      <c r="A25" s="157" t="s">
        <v>40</v>
      </c>
      <c r="B25" s="158">
        <v>4054598.3000000003</v>
      </c>
      <c r="C25" s="158">
        <v>4304939.05</v>
      </c>
      <c r="D25" s="158">
        <v>4594925.21</v>
      </c>
      <c r="E25" s="159">
        <f t="shared" si="0"/>
        <v>6.1742429576808977E-2</v>
      </c>
      <c r="F25" s="109">
        <f t="shared" si="0"/>
        <v>6.736126960961264E-2</v>
      </c>
    </row>
    <row r="26" spans="1:6" ht="15" customHeight="1" x14ac:dyDescent="0.35">
      <c r="A26" s="160" t="s">
        <v>41</v>
      </c>
      <c r="B26" s="161">
        <v>210676.34000000003</v>
      </c>
      <c r="C26" s="161">
        <v>168355.96</v>
      </c>
      <c r="D26" s="161">
        <v>178610.13</v>
      </c>
      <c r="E26" s="162">
        <f t="shared" si="0"/>
        <v>-0.20087865585665687</v>
      </c>
      <c r="F26" s="114">
        <f t="shared" si="0"/>
        <v>6.0907674429821368E-2</v>
      </c>
    </row>
    <row r="27" spans="1:6" ht="15" customHeight="1" x14ac:dyDescent="0.35">
      <c r="A27" s="31" t="s">
        <v>65</v>
      </c>
      <c r="B27" s="23">
        <f>B24+B25+B26</f>
        <v>12571296.27</v>
      </c>
      <c r="C27" s="23">
        <f t="shared" ref="C27:D27" si="4">C24+C25+C26</f>
        <v>13203306.09</v>
      </c>
      <c r="D27" s="23">
        <f t="shared" si="4"/>
        <v>14009328.720000001</v>
      </c>
      <c r="E27" s="24">
        <f t="shared" si="0"/>
        <v>5.0274037491918833E-2</v>
      </c>
      <c r="F27" s="32">
        <f t="shared" si="0"/>
        <v>6.1047030532032531E-2</v>
      </c>
    </row>
    <row r="28" spans="1:6" ht="15" customHeight="1" x14ac:dyDescent="0.35">
      <c r="A28" s="33" t="s">
        <v>66</v>
      </c>
      <c r="B28" s="23">
        <v>2562085.1399999997</v>
      </c>
      <c r="C28" s="23">
        <v>3132582.93</v>
      </c>
      <c r="D28" s="23">
        <v>3596129.98</v>
      </c>
      <c r="E28" s="24">
        <f t="shared" si="0"/>
        <v>0.22266933330716743</v>
      </c>
      <c r="F28" s="32">
        <f t="shared" si="0"/>
        <v>0.14797598670436463</v>
      </c>
    </row>
    <row r="29" spans="1:6" s="6" customFormat="1" ht="15" customHeight="1" x14ac:dyDescent="0.35">
      <c r="A29" s="182" t="s">
        <v>26</v>
      </c>
      <c r="B29" s="183">
        <v>2388271.7999999998</v>
      </c>
      <c r="C29" s="183">
        <v>2991289.11</v>
      </c>
      <c r="D29" s="183">
        <v>3382486.37</v>
      </c>
      <c r="E29" s="184">
        <f t="shared" si="0"/>
        <v>0.2524910732522152</v>
      </c>
      <c r="F29" s="185">
        <f t="shared" si="0"/>
        <v>0.13077881997170127</v>
      </c>
    </row>
    <row r="30" spans="1:6" s="163" customFormat="1" ht="15" customHeight="1" x14ac:dyDescent="0.35">
      <c r="A30" s="171" t="s">
        <v>76</v>
      </c>
      <c r="B30" s="172">
        <f>SUM(B31:B36)</f>
        <v>2171052.4899999998</v>
      </c>
      <c r="C30" s="172">
        <f t="shared" ref="C30:D30" si="5">SUM(C31:C36)</f>
        <v>3634571.59</v>
      </c>
      <c r="D30" s="172">
        <f t="shared" si="5"/>
        <v>2310737.83</v>
      </c>
      <c r="E30" s="169">
        <f t="shared" si="0"/>
        <v>0.67410581123259727</v>
      </c>
      <c r="F30" s="170">
        <f t="shared" si="0"/>
        <v>-0.36423378305226883</v>
      </c>
    </row>
    <row r="31" spans="1:6" s="9" customFormat="1" ht="15" customHeight="1" x14ac:dyDescent="0.35">
      <c r="A31" s="165" t="s">
        <v>21</v>
      </c>
      <c r="B31" s="166">
        <v>1133120.67</v>
      </c>
      <c r="C31" s="166">
        <v>1924070.35</v>
      </c>
      <c r="D31" s="166">
        <v>1405680.88</v>
      </c>
      <c r="E31" s="167">
        <f t="shared" si="0"/>
        <v>0.69802775727319522</v>
      </c>
      <c r="F31" s="168">
        <f t="shared" si="0"/>
        <v>-0.26942334514951605</v>
      </c>
    </row>
    <row r="32" spans="1:6" s="9" customFormat="1" ht="15" customHeight="1" x14ac:dyDescent="0.35">
      <c r="A32" s="165" t="s">
        <v>22</v>
      </c>
      <c r="B32" s="166">
        <v>15762.37</v>
      </c>
      <c r="C32" s="166">
        <v>15711.65</v>
      </c>
      <c r="D32" s="166">
        <v>16782.740000000002</v>
      </c>
      <c r="E32" s="167">
        <f t="shared" si="0"/>
        <v>-3.2177902180954288E-3</v>
      </c>
      <c r="F32" s="168">
        <f t="shared" si="0"/>
        <v>6.8171706981762004E-2</v>
      </c>
    </row>
    <row r="33" spans="1:6" s="9" customFormat="1" ht="15" customHeight="1" x14ac:dyDescent="0.35">
      <c r="A33" s="165" t="s">
        <v>23</v>
      </c>
      <c r="B33" s="166">
        <v>550553.81999999995</v>
      </c>
      <c r="C33" s="166">
        <v>1010619.7</v>
      </c>
      <c r="D33" s="166">
        <v>718278.75</v>
      </c>
      <c r="E33" s="167">
        <f t="shared" si="0"/>
        <v>0.8356419722961872</v>
      </c>
      <c r="F33" s="168">
        <f t="shared" si="0"/>
        <v>-0.28926900000069267</v>
      </c>
    </row>
    <row r="34" spans="1:6" s="9" customFormat="1" ht="15" customHeight="1" x14ac:dyDescent="0.35">
      <c r="A34" s="165" t="s">
        <v>24</v>
      </c>
      <c r="B34" s="166">
        <v>117412.65</v>
      </c>
      <c r="C34" s="166">
        <v>262747.13</v>
      </c>
      <c r="D34" s="166">
        <v>174922.51</v>
      </c>
      <c r="E34" s="167">
        <f t="shared" si="0"/>
        <v>1.2378093842528894</v>
      </c>
      <c r="F34" s="168">
        <f t="shared" si="0"/>
        <v>-0.33425529709877322</v>
      </c>
    </row>
    <row r="35" spans="1:6" s="9" customFormat="1" ht="15" customHeight="1" x14ac:dyDescent="0.35">
      <c r="A35" s="165" t="s">
        <v>25</v>
      </c>
      <c r="B35" s="166">
        <v>354202.98</v>
      </c>
      <c r="C35" s="166">
        <v>421422.76</v>
      </c>
      <c r="D35" s="166">
        <v>-4927.05</v>
      </c>
      <c r="E35" s="167">
        <f t="shared" si="0"/>
        <v>0.18977756765343989</v>
      </c>
      <c r="F35" s="168">
        <f t="shared" si="0"/>
        <v>-1.0116914663080845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3831403.01</v>
      </c>
      <c r="C37" s="172">
        <v>4020897.6700000004</v>
      </c>
      <c r="D37" s="172">
        <v>4171900.1199999996</v>
      </c>
      <c r="E37" s="169">
        <f t="shared" si="0"/>
        <v>4.945829491322562E-2</v>
      </c>
      <c r="F37" s="170">
        <f t="shared" si="0"/>
        <v>3.7554412569767992E-2</v>
      </c>
    </row>
    <row r="38" spans="1:6" s="7" customFormat="1" ht="15" customHeight="1" x14ac:dyDescent="0.35">
      <c r="A38" s="173" t="s">
        <v>70</v>
      </c>
      <c r="B38" s="166">
        <v>3761147.23</v>
      </c>
      <c r="C38" s="166">
        <v>3927377.83</v>
      </c>
      <c r="D38" s="166">
        <v>4075982.84</v>
      </c>
      <c r="E38" s="159">
        <f t="shared" si="0"/>
        <v>4.4196780884857789E-2</v>
      </c>
      <c r="F38" s="109">
        <f t="shared" si="0"/>
        <v>3.783822602064224E-2</v>
      </c>
    </row>
    <row r="39" spans="1:6" s="10" customFormat="1" ht="15" customHeight="1" x14ac:dyDescent="0.35">
      <c r="A39" s="171" t="s">
        <v>78</v>
      </c>
      <c r="B39" s="172">
        <v>1927354.1500000001</v>
      </c>
      <c r="C39" s="172">
        <v>1632116.2400000002</v>
      </c>
      <c r="D39" s="172">
        <v>1691914.7200000002</v>
      </c>
      <c r="E39" s="169">
        <f t="shared" si="0"/>
        <v>-0.15318300998288248</v>
      </c>
      <c r="F39" s="170">
        <f t="shared" si="0"/>
        <v>3.6638615886819492E-2</v>
      </c>
    </row>
    <row r="40" spans="1:6" s="10" customFormat="1" ht="15" customHeight="1" x14ac:dyDescent="0.35">
      <c r="A40" s="175" t="s">
        <v>79</v>
      </c>
      <c r="B40" s="176">
        <v>2358425.8700000006</v>
      </c>
      <c r="C40" s="176">
        <v>2454354.7999999993</v>
      </c>
      <c r="D40" s="176">
        <v>2738706.53</v>
      </c>
      <c r="E40" s="177">
        <f t="shared" si="0"/>
        <v>4.0674982080313837E-2</v>
      </c>
      <c r="F40" s="178">
        <f t="shared" si="0"/>
        <v>0.11585600011864639</v>
      </c>
    </row>
    <row r="41" spans="1:6" ht="15" customHeight="1" x14ac:dyDescent="0.35">
      <c r="A41" s="31" t="s">
        <v>75</v>
      </c>
      <c r="B41" s="23">
        <f>+B30+B37+B39+B40</f>
        <v>10288235.520000001</v>
      </c>
      <c r="C41" s="23">
        <f>+C30+C37+C39+C40</f>
        <v>11741940.299999999</v>
      </c>
      <c r="D41" s="23">
        <f>+D30+D37+D39+D40</f>
        <v>10913259.199999999</v>
      </c>
      <c r="E41" s="24">
        <f t="shared" si="0"/>
        <v>0.14129777425624068</v>
      </c>
      <c r="F41" s="32">
        <f t="shared" si="0"/>
        <v>-7.0574460338552414E-2</v>
      </c>
    </row>
    <row r="42" spans="1:6" ht="15" customHeight="1" x14ac:dyDescent="0.35">
      <c r="A42" s="33" t="s">
        <v>67</v>
      </c>
      <c r="B42" s="23">
        <v>414210.9599999999</v>
      </c>
      <c r="C42" s="23">
        <v>408255.9200000001</v>
      </c>
      <c r="D42" s="23">
        <v>478201.23</v>
      </c>
      <c r="E42" s="24">
        <f t="shared" si="0"/>
        <v>-1.4376828657551188E-2</v>
      </c>
      <c r="F42" s="32">
        <f t="shared" si="0"/>
        <v>0.1713271175590052</v>
      </c>
    </row>
    <row r="43" spans="1:6" ht="15" customHeight="1" x14ac:dyDescent="0.35">
      <c r="A43" s="33" t="s">
        <v>68</v>
      </c>
      <c r="B43" s="23">
        <v>357714.66000000003</v>
      </c>
      <c r="C43" s="23">
        <v>496695.66</v>
      </c>
      <c r="D43" s="23">
        <v>1435060.6500000001</v>
      </c>
      <c r="E43" s="24">
        <f t="shared" si="0"/>
        <v>0.38852475322090507</v>
      </c>
      <c r="F43" s="32">
        <f t="shared" si="0"/>
        <v>1.8892151986993406</v>
      </c>
    </row>
    <row r="44" spans="1:6" ht="15" customHeight="1" x14ac:dyDescent="0.35">
      <c r="A44" s="33" t="s">
        <v>69</v>
      </c>
      <c r="B44" s="23"/>
      <c r="C44" s="23"/>
      <c r="D44" s="23"/>
      <c r="E44" s="24" t="str">
        <f t="shared" si="0"/>
        <v/>
      </c>
      <c r="F44" s="32" t="str">
        <f t="shared" si="0"/>
        <v/>
      </c>
    </row>
    <row r="45" spans="1:6" ht="15" customHeight="1" x14ac:dyDescent="0.35">
      <c r="A45" s="186" t="s">
        <v>80</v>
      </c>
      <c r="B45" s="187">
        <v>4864678.12</v>
      </c>
      <c r="C45" s="187">
        <v>4843172.4800000004</v>
      </c>
      <c r="D45" s="187">
        <v>5150997.8499999996</v>
      </c>
      <c r="E45" s="188">
        <f t="shared" si="0"/>
        <v>-4.4207734755531414E-3</v>
      </c>
      <c r="F45" s="189">
        <f t="shared" si="0"/>
        <v>6.3558622219458849E-2</v>
      </c>
    </row>
    <row r="46" spans="1:6" ht="15" customHeight="1" x14ac:dyDescent="0.35">
      <c r="A46" s="171" t="s">
        <v>81</v>
      </c>
      <c r="B46" s="190">
        <v>411366.61</v>
      </c>
      <c r="C46" s="190">
        <v>692148.13</v>
      </c>
      <c r="D46" s="190">
        <v>585323.54</v>
      </c>
      <c r="E46" s="191">
        <f t="shared" si="0"/>
        <v>0.68255787702361159</v>
      </c>
      <c r="F46" s="192">
        <f t="shared" si="0"/>
        <v>-0.15433775715033715</v>
      </c>
    </row>
    <row r="47" spans="1:6" ht="15" customHeight="1" x14ac:dyDescent="0.35">
      <c r="A47" s="175" t="s">
        <v>82</v>
      </c>
      <c r="B47" s="193">
        <v>329.4</v>
      </c>
      <c r="C47" s="193">
        <v>996.87</v>
      </c>
      <c r="D47" s="193">
        <v>7911.33</v>
      </c>
      <c r="E47" s="194">
        <f t="shared" si="0"/>
        <v>2.0263205828779602</v>
      </c>
      <c r="F47" s="195">
        <f t="shared" si="0"/>
        <v>6.9361702127659575</v>
      </c>
    </row>
    <row r="48" spans="1:6" ht="15" customHeight="1" thickBot="1" x14ac:dyDescent="0.4">
      <c r="A48" s="90" t="s">
        <v>83</v>
      </c>
      <c r="B48" s="91">
        <v>5303302.41</v>
      </c>
      <c r="C48" s="91">
        <v>5536317.4800000004</v>
      </c>
      <c r="D48" s="91">
        <v>5744232.7199999997</v>
      </c>
      <c r="E48" s="92">
        <f t="shared" si="0"/>
        <v>4.3937730113339013E-2</v>
      </c>
      <c r="F48" s="79">
        <f t="shared" si="0"/>
        <v>3.7554789939539202E-2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31496844.960000001</v>
      </c>
      <c r="C49" s="97">
        <f>C27+C28+C41+C42+C43+C44+C48</f>
        <v>34519098.380000003</v>
      </c>
      <c r="D49" s="97">
        <f>D27+D28+D41+D42+D43+D44+D48</f>
        <v>36176212.5</v>
      </c>
      <c r="E49" s="98">
        <f t="shared" si="0"/>
        <v>9.5954163784917723E-2</v>
      </c>
      <c r="F49" s="99">
        <f t="shared" si="0"/>
        <v>4.8005718508572492E-2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17076530.529999997</v>
      </c>
      <c r="C51" s="58">
        <f>+C11</f>
        <v>17239735.52</v>
      </c>
      <c r="D51" s="44">
        <f>+D11</f>
        <v>18797299.439999998</v>
      </c>
      <c r="E51" s="59">
        <f t="shared" si="0"/>
        <v>9.5572686567264586E-3</v>
      </c>
      <c r="F51" s="28">
        <f t="shared" si="0"/>
        <v>9.0347321059134122E-2</v>
      </c>
    </row>
    <row r="52" spans="1:7" ht="15" customHeight="1" x14ac:dyDescent="0.35">
      <c r="A52" s="40" t="s">
        <v>9</v>
      </c>
      <c r="B52" s="45">
        <f>+B28</f>
        <v>2562085.1399999997</v>
      </c>
      <c r="C52" s="49">
        <f>+C28</f>
        <v>3132582.93</v>
      </c>
      <c r="D52" s="45">
        <f>+D28</f>
        <v>3596129.98</v>
      </c>
      <c r="E52" s="53">
        <f t="shared" si="0"/>
        <v>0.22266933330716743</v>
      </c>
      <c r="F52" s="30">
        <f t="shared" si="0"/>
        <v>0.14797598670436463</v>
      </c>
    </row>
    <row r="53" spans="1:7" ht="15" customHeight="1" x14ac:dyDescent="0.35">
      <c r="A53" s="40" t="s">
        <v>10</v>
      </c>
      <c r="B53" s="45">
        <f>+B41</f>
        <v>10288235.520000001</v>
      </c>
      <c r="C53" s="49">
        <f>+C41</f>
        <v>11741940.299999999</v>
      </c>
      <c r="D53" s="45">
        <f>+D41</f>
        <v>10913259.199999999</v>
      </c>
      <c r="E53" s="53">
        <f t="shared" si="0"/>
        <v>0.14129777425624068</v>
      </c>
      <c r="F53" s="30">
        <f t="shared" si="0"/>
        <v>-7.0574460338552414E-2</v>
      </c>
    </row>
    <row r="54" spans="1:7" s="3" customFormat="1" ht="15" customHeight="1" x14ac:dyDescent="0.35">
      <c r="A54" s="41" t="s">
        <v>11</v>
      </c>
      <c r="B54" s="46">
        <f>B51-B52-B53</f>
        <v>4226209.8699999955</v>
      </c>
      <c r="C54" s="50">
        <f t="shared" ref="C54:D54" si="6">C51-C52-C53</f>
        <v>2365212.290000001</v>
      </c>
      <c r="D54" s="46">
        <f t="shared" si="6"/>
        <v>4287910.2599999979</v>
      </c>
      <c r="E54" s="54">
        <f t="shared" si="0"/>
        <v>-0.4403467024225175</v>
      </c>
      <c r="F54" s="34">
        <f t="shared" si="0"/>
        <v>0.81290714500726535</v>
      </c>
      <c r="G54" s="4"/>
    </row>
    <row r="55" spans="1:7" ht="15" customHeight="1" x14ac:dyDescent="0.35">
      <c r="A55" s="40" t="s">
        <v>12</v>
      </c>
      <c r="B55" s="45">
        <f>B15</f>
        <v>9727160.2299999986</v>
      </c>
      <c r="C55" s="49">
        <f>C15</f>
        <v>11574033.299999999</v>
      </c>
      <c r="D55" s="45">
        <f>D15</f>
        <v>10921920.560000001</v>
      </c>
      <c r="E55" s="53">
        <f t="shared" si="0"/>
        <v>0.18986765164040076</v>
      </c>
      <c r="F55" s="30">
        <f t="shared" si="0"/>
        <v>-5.6342739224709004E-2</v>
      </c>
    </row>
    <row r="56" spans="1:7" ht="15" customHeight="1" x14ac:dyDescent="0.35">
      <c r="A56" s="40" t="s">
        <v>13</v>
      </c>
      <c r="B56" s="45">
        <f>B27</f>
        <v>12571296.27</v>
      </c>
      <c r="C56" s="49">
        <f>C27</f>
        <v>13203306.09</v>
      </c>
      <c r="D56" s="45">
        <f>D27</f>
        <v>14009328.720000001</v>
      </c>
      <c r="E56" s="53">
        <f t="shared" si="0"/>
        <v>5.0274037491918833E-2</v>
      </c>
      <c r="F56" s="30">
        <f t="shared" si="0"/>
        <v>6.1047030532032531E-2</v>
      </c>
    </row>
    <row r="57" spans="1:7" ht="15" customHeight="1" x14ac:dyDescent="0.35">
      <c r="A57" s="40" t="s">
        <v>14</v>
      </c>
      <c r="B57" s="45">
        <f>B42+B43</f>
        <v>771925.61999999988</v>
      </c>
      <c r="C57" s="49">
        <f t="shared" ref="C57:D57" si="7">C42+C43</f>
        <v>904951.58000000007</v>
      </c>
      <c r="D57" s="45">
        <f t="shared" si="7"/>
        <v>1913261.8800000001</v>
      </c>
      <c r="E57" s="53">
        <f t="shared" si="0"/>
        <v>0.17233002319575852</v>
      </c>
      <c r="F57" s="30">
        <f t="shared" si="0"/>
        <v>1.1142146411855536</v>
      </c>
    </row>
    <row r="58" spans="1:7" s="3" customFormat="1" ht="15" customHeight="1" x14ac:dyDescent="0.35">
      <c r="A58" s="42" t="s">
        <v>15</v>
      </c>
      <c r="B58" s="47">
        <f>+B54+B55-B56-B57</f>
        <v>610148.20999999461</v>
      </c>
      <c r="C58" s="51">
        <f>+C54+C55-C56-C57</f>
        <v>-169012.08000000007</v>
      </c>
      <c r="D58" s="47">
        <f t="shared" ref="D58" si="8">+D54+D55-D56-D57</f>
        <v>-712759.78000000236</v>
      </c>
      <c r="E58" s="55">
        <f t="shared" si="0"/>
        <v>-1.2770016812800313</v>
      </c>
      <c r="F58" s="35">
        <f t="shared" si="0"/>
        <v>3.2172120478015653</v>
      </c>
      <c r="G58" s="4"/>
    </row>
    <row r="59" spans="1:7" ht="15" customHeight="1" x14ac:dyDescent="0.35">
      <c r="A59" s="40" t="s">
        <v>16</v>
      </c>
      <c r="B59" s="45">
        <f t="shared" ref="B59:D60" si="9">B20</f>
        <v>5011749.42</v>
      </c>
      <c r="C59" s="49">
        <f t="shared" si="9"/>
        <v>5221243.43</v>
      </c>
      <c r="D59" s="45">
        <f t="shared" si="9"/>
        <v>5468792.459999999</v>
      </c>
      <c r="E59" s="53">
        <f t="shared" si="0"/>
        <v>4.180057549645011E-2</v>
      </c>
      <c r="F59" s="30">
        <f t="shared" si="0"/>
        <v>4.7411892074911144E-2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5303302.41</v>
      </c>
      <c r="C61" s="49">
        <f t="shared" ref="C61:D61" si="10">C48</f>
        <v>5536317.4800000004</v>
      </c>
      <c r="D61" s="45">
        <f t="shared" si="10"/>
        <v>5744232.7199999997</v>
      </c>
      <c r="E61" s="53">
        <f t="shared" si="0"/>
        <v>4.3937730113339013E-2</v>
      </c>
      <c r="F61" s="30">
        <f t="shared" si="0"/>
        <v>3.7554789939539202E-2</v>
      </c>
    </row>
    <row r="62" spans="1:7" ht="15" customHeight="1" x14ac:dyDescent="0.35">
      <c r="A62" s="40" t="s">
        <v>19</v>
      </c>
      <c r="B62" s="45">
        <f>B44</f>
        <v>0</v>
      </c>
      <c r="C62" s="49">
        <f t="shared" ref="C62:D62" si="11">C44</f>
        <v>0</v>
      </c>
      <c r="D62" s="45">
        <f t="shared" si="11"/>
        <v>0</v>
      </c>
      <c r="E62" s="53" t="e">
        <f t="shared" si="0"/>
        <v>#DIV/0!</v>
      </c>
      <c r="F62" s="30" t="e">
        <f t="shared" si="0"/>
        <v>#DIV/0!</v>
      </c>
    </row>
    <row r="63" spans="1:7" s="3" customFormat="1" ht="15" customHeight="1" thickBot="1" x14ac:dyDescent="0.4">
      <c r="A63" s="43" t="s">
        <v>20</v>
      </c>
      <c r="B63" s="48">
        <f>B58+B59+B60-B61-B62</f>
        <v>318595.21999999415</v>
      </c>
      <c r="C63" s="52">
        <f t="shared" ref="C63:D63" si="12">C58+C59+C60-C61-C62</f>
        <v>-484086.13000000082</v>
      </c>
      <c r="D63" s="48">
        <f t="shared" si="12"/>
        <v>-988200.04000000283</v>
      </c>
      <c r="E63" s="56">
        <f t="shared" si="0"/>
        <v>-2.5194394002521747</v>
      </c>
      <c r="F63" s="36">
        <f t="shared" si="0"/>
        <v>1.0413723483463597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4864678.12</v>
      </c>
      <c r="C65" s="26">
        <f t="shared" ref="C65:D65" si="13">C45</f>
        <v>4843172.4800000004</v>
      </c>
      <c r="D65" s="26">
        <f t="shared" si="13"/>
        <v>5150997.8499999996</v>
      </c>
      <c r="E65" s="27">
        <f t="shared" ref="E65:E66" si="14">+IF(ISBLANK(B65),"",+C65/B65-1)</f>
        <v>-4.4207734755531414E-3</v>
      </c>
      <c r="F65" s="28">
        <f t="shared" ref="F65:F66" si="15">+IF(ISBLANK(C65),"",+D65/C65-1)</f>
        <v>6.3558622219458849E-2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4085651.9299999997</v>
      </c>
      <c r="C66" s="19">
        <f t="shared" si="16"/>
        <v>4113228.4</v>
      </c>
      <c r="D66" s="19">
        <f t="shared" si="16"/>
        <v>4355867.72</v>
      </c>
      <c r="E66" s="20">
        <f t="shared" si="14"/>
        <v>6.7495886758028867E-3</v>
      </c>
      <c r="F66" s="30">
        <f t="shared" si="15"/>
        <v>5.8989994331459794E-2</v>
      </c>
    </row>
    <row r="67" spans="1:6" ht="15" customHeight="1" thickBot="1" x14ac:dyDescent="0.4">
      <c r="A67" s="207" t="s">
        <v>85</v>
      </c>
      <c r="B67" s="208">
        <f>B65-B66</f>
        <v>779026.19000000041</v>
      </c>
      <c r="C67" s="208">
        <f t="shared" ref="C67:D67" si="17">C65-C66</f>
        <v>729944.08000000054</v>
      </c>
      <c r="D67" s="208">
        <f t="shared" si="17"/>
        <v>795130.12999999989</v>
      </c>
      <c r="E67" s="209">
        <f>+IF(ISBLANK(B67),"",+C67/B67-1)</f>
        <v>-6.3004441480972395E-2</v>
      </c>
      <c r="F67" s="210">
        <f>+IF(ISBLANK(C67),"",+D67/C67-1)</f>
        <v>8.9302799743234074E-2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28010-8AE2-48DD-B168-298FA16FA505}">
  <sheetPr>
    <tabColor theme="5" tint="0.79998168889431442"/>
    <pageSetUpPr fitToPage="1"/>
  </sheetPr>
  <dimension ref="A1:G72"/>
  <sheetViews>
    <sheetView topLeftCell="A34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35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2790481.77</v>
      </c>
      <c r="C6" s="102">
        <v>2931522.1</v>
      </c>
      <c r="D6" s="101">
        <v>2941338.03</v>
      </c>
      <c r="E6" s="103">
        <f>+IF(ISBLANK(B6),"",+C6/B6-1)</f>
        <v>5.0543361908435003E-2</v>
      </c>
      <c r="F6" s="104">
        <f>+IF(ISBLANK(C6),"",+D6/C6-1)</f>
        <v>3.348407300084677E-3</v>
      </c>
    </row>
    <row r="7" spans="1:6" ht="15" customHeight="1" x14ac:dyDescent="0.35">
      <c r="A7" s="105" t="s">
        <v>2</v>
      </c>
      <c r="B7" s="106">
        <v>364587.34</v>
      </c>
      <c r="C7" s="107">
        <v>415486.15</v>
      </c>
      <c r="D7" s="106">
        <v>446519.01</v>
      </c>
      <c r="E7" s="108">
        <f t="shared" ref="E7:F63" si="0">+IF(ISBLANK(B7),"",+C7/B7-1)</f>
        <v>0.13960663033444876</v>
      </c>
      <c r="F7" s="109">
        <f t="shared" si="0"/>
        <v>7.4690480055713104E-2</v>
      </c>
    </row>
    <row r="8" spans="1:6" ht="15" customHeight="1" x14ac:dyDescent="0.35">
      <c r="A8" s="105" t="s">
        <v>4</v>
      </c>
      <c r="B8" s="106">
        <v>23010</v>
      </c>
      <c r="C8" s="107">
        <v>23987.85</v>
      </c>
      <c r="D8" s="106">
        <v>5841</v>
      </c>
      <c r="E8" s="108">
        <f t="shared" si="0"/>
        <v>4.2496740547588008E-2</v>
      </c>
      <c r="F8" s="109">
        <f t="shared" si="0"/>
        <v>-0.75650172900030643</v>
      </c>
    </row>
    <row r="9" spans="1:6" ht="15" customHeight="1" x14ac:dyDescent="0.35">
      <c r="A9" s="105" t="s">
        <v>3</v>
      </c>
      <c r="B9" s="106">
        <v>51697.25</v>
      </c>
      <c r="C9" s="107">
        <v>50682.51</v>
      </c>
      <c r="D9" s="106">
        <v>54350.42</v>
      </c>
      <c r="E9" s="108">
        <f t="shared" si="0"/>
        <v>-1.9628510220563E-2</v>
      </c>
      <c r="F9" s="109">
        <f t="shared" si="0"/>
        <v>7.2370330514412107E-2</v>
      </c>
    </row>
    <row r="10" spans="1:6" ht="15" customHeight="1" x14ac:dyDescent="0.35">
      <c r="A10" s="110" t="s">
        <v>5</v>
      </c>
      <c r="B10" s="111">
        <v>26669.94</v>
      </c>
      <c r="C10" s="112">
        <v>43081.39</v>
      </c>
      <c r="D10" s="111">
        <v>106721.04</v>
      </c>
      <c r="E10" s="113">
        <f t="shared" si="0"/>
        <v>0.61535384031610119</v>
      </c>
      <c r="F10" s="114">
        <f t="shared" si="0"/>
        <v>1.4771958379244494</v>
      </c>
    </row>
    <row r="11" spans="1:6" s="3" customFormat="1" ht="15" customHeight="1" x14ac:dyDescent="0.35">
      <c r="A11" s="64" t="s">
        <v>62</v>
      </c>
      <c r="B11" s="67">
        <f>SUM(B6:B10)</f>
        <v>3256446.3</v>
      </c>
      <c r="C11" s="70">
        <f t="shared" ref="C11:D11" si="1">SUM(C6:C10)</f>
        <v>3464760</v>
      </c>
      <c r="D11" s="67">
        <f t="shared" si="1"/>
        <v>3554769.5</v>
      </c>
      <c r="E11" s="73">
        <f t="shared" si="0"/>
        <v>6.3969640770676905E-2</v>
      </c>
      <c r="F11" s="38">
        <f t="shared" si="0"/>
        <v>2.5978567058035695E-2</v>
      </c>
    </row>
    <row r="12" spans="1:6" ht="15" customHeight="1" x14ac:dyDescent="0.35">
      <c r="A12" s="115" t="s">
        <v>29</v>
      </c>
      <c r="B12" s="116">
        <v>2359664</v>
      </c>
      <c r="C12" s="117">
        <v>2556434</v>
      </c>
      <c r="D12" s="116">
        <v>2118127</v>
      </c>
      <c r="E12" s="118">
        <f t="shared" si="0"/>
        <v>8.338899097498631E-2</v>
      </c>
      <c r="F12" s="119">
        <f t="shared" si="0"/>
        <v>-0.17145249984939959</v>
      </c>
    </row>
    <row r="13" spans="1:6" ht="15" customHeight="1" x14ac:dyDescent="0.35">
      <c r="A13" s="105" t="s">
        <v>60</v>
      </c>
      <c r="B13" s="106">
        <v>49953.78</v>
      </c>
      <c r="C13" s="107">
        <v>43935.96</v>
      </c>
      <c r="D13" s="106">
        <v>45009.08</v>
      </c>
      <c r="E13" s="108">
        <f t="shared" si="0"/>
        <v>-0.12046776039771168</v>
      </c>
      <c r="F13" s="109">
        <f t="shared" si="0"/>
        <v>2.4424639862199449E-2</v>
      </c>
    </row>
    <row r="14" spans="1:6" ht="15" customHeight="1" x14ac:dyDescent="0.35">
      <c r="A14" s="110" t="s">
        <v>61</v>
      </c>
      <c r="B14" s="111">
        <v>242121.60000000001</v>
      </c>
      <c r="C14" s="112">
        <v>515773.4</v>
      </c>
      <c r="D14" s="111">
        <v>239127.25</v>
      </c>
      <c r="E14" s="113">
        <f t="shared" si="0"/>
        <v>1.1302246474498765</v>
      </c>
      <c r="F14" s="114">
        <f t="shared" si="0"/>
        <v>-0.53637149569946807</v>
      </c>
    </row>
    <row r="15" spans="1:6" s="3" customFormat="1" ht="15" customHeight="1" x14ac:dyDescent="0.35">
      <c r="A15" s="64" t="s">
        <v>63</v>
      </c>
      <c r="B15" s="67">
        <f>SUM(B12:B14)</f>
        <v>2651739.38</v>
      </c>
      <c r="C15" s="70">
        <f t="shared" ref="C15:D15" si="2">SUM(C12:C14)</f>
        <v>3116143.36</v>
      </c>
      <c r="D15" s="67">
        <f t="shared" si="2"/>
        <v>2402263.33</v>
      </c>
      <c r="E15" s="73">
        <f t="shared" si="0"/>
        <v>0.17513183365704665</v>
      </c>
      <c r="F15" s="38">
        <f t="shared" si="0"/>
        <v>-0.22909088174941983</v>
      </c>
    </row>
    <row r="16" spans="1:6" s="11" customFormat="1" ht="15" customHeight="1" x14ac:dyDescent="0.35">
      <c r="A16" s="120" t="s">
        <v>74</v>
      </c>
      <c r="B16" s="121">
        <v>886485.32</v>
      </c>
      <c r="C16" s="122">
        <v>859748.05</v>
      </c>
      <c r="D16" s="121">
        <v>958264.87</v>
      </c>
      <c r="E16" s="123">
        <f t="shared" si="0"/>
        <v>-3.0160984504514876E-2</v>
      </c>
      <c r="F16" s="124">
        <f t="shared" si="0"/>
        <v>0.11458801215076897</v>
      </c>
    </row>
    <row r="17" spans="1:6" s="11" customFormat="1" ht="15" customHeight="1" x14ac:dyDescent="0.35">
      <c r="A17" s="125" t="s">
        <v>71</v>
      </c>
      <c r="B17" s="126">
        <v>261453.3</v>
      </c>
      <c r="C17" s="127">
        <v>64578</v>
      </c>
      <c r="D17" s="126">
        <v>201611.75</v>
      </c>
      <c r="E17" s="128">
        <f t="shared" si="0"/>
        <v>-0.75300369129018452</v>
      </c>
      <c r="F17" s="129">
        <f t="shared" si="0"/>
        <v>2.1219881383752979</v>
      </c>
    </row>
    <row r="18" spans="1:6" s="11" customFormat="1" ht="15" customHeight="1" x14ac:dyDescent="0.35">
      <c r="A18" s="125" t="s">
        <v>72</v>
      </c>
      <c r="B18" s="126"/>
      <c r="C18" s="127"/>
      <c r="D18" s="126"/>
      <c r="E18" s="128" t="str">
        <f t="shared" si="0"/>
        <v/>
      </c>
      <c r="F18" s="129" t="str">
        <f t="shared" si="0"/>
        <v/>
      </c>
    </row>
    <row r="19" spans="1:6" s="11" customFormat="1" ht="15" customHeight="1" x14ac:dyDescent="0.35">
      <c r="A19" s="130" t="s">
        <v>73</v>
      </c>
      <c r="B19" s="131">
        <v>15279.29</v>
      </c>
      <c r="C19" s="132">
        <v>11773.68</v>
      </c>
      <c r="D19" s="131">
        <v>19589.310000000001</v>
      </c>
      <c r="E19" s="133">
        <f t="shared" si="0"/>
        <v>-0.2294353991579452</v>
      </c>
      <c r="F19" s="134">
        <f t="shared" si="0"/>
        <v>0.66382218643618662</v>
      </c>
    </row>
    <row r="20" spans="1:6" ht="15" customHeight="1" x14ac:dyDescent="0.35">
      <c r="A20" s="65" t="s">
        <v>84</v>
      </c>
      <c r="B20" s="68">
        <f>SUM(B16:B19)</f>
        <v>1163217.9099999999</v>
      </c>
      <c r="C20" s="71">
        <f t="shared" ref="C20:D20" si="3">SUM(C16:C19)</f>
        <v>936099.7300000001</v>
      </c>
      <c r="D20" s="68">
        <f t="shared" si="3"/>
        <v>1179465.9300000002</v>
      </c>
      <c r="E20" s="74">
        <f t="shared" si="0"/>
        <v>-0.1952498994792814</v>
      </c>
      <c r="F20" s="32">
        <f t="shared" si="0"/>
        <v>0.25997892339953999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7071403.5899999999</v>
      </c>
      <c r="C22" s="87">
        <f>C11+C15+C20+C21</f>
        <v>7517003.0899999999</v>
      </c>
      <c r="D22" s="86">
        <f>D11+D15+D20+D21</f>
        <v>7136498.7599999998</v>
      </c>
      <c r="E22" s="88">
        <f t="shared" si="0"/>
        <v>6.3014293319383352E-2</v>
      </c>
      <c r="F22" s="89">
        <f t="shared" si="0"/>
        <v>-5.0619153064629163E-2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1683634.92</v>
      </c>
      <c r="C24" s="155">
        <v>1693316.92</v>
      </c>
      <c r="D24" s="155">
        <v>1776293.5699999998</v>
      </c>
      <c r="E24" s="156">
        <f t="shared" si="0"/>
        <v>5.7506528790696176E-3</v>
      </c>
      <c r="F24" s="104">
        <f t="shared" si="0"/>
        <v>4.9002433637762133E-2</v>
      </c>
    </row>
    <row r="25" spans="1:6" ht="15" customHeight="1" x14ac:dyDescent="0.35">
      <c r="A25" s="157" t="s">
        <v>40</v>
      </c>
      <c r="B25" s="158">
        <v>833435.04999999993</v>
      </c>
      <c r="C25" s="158">
        <v>871302.73</v>
      </c>
      <c r="D25" s="158">
        <v>945976.39999999991</v>
      </c>
      <c r="E25" s="159">
        <f t="shared" si="0"/>
        <v>4.5435670122105032E-2</v>
      </c>
      <c r="F25" s="109">
        <f t="shared" si="0"/>
        <v>8.570347300530079E-2</v>
      </c>
    </row>
    <row r="26" spans="1:6" ht="15" customHeight="1" x14ac:dyDescent="0.35">
      <c r="A26" s="160" t="s">
        <v>41</v>
      </c>
      <c r="B26" s="161">
        <v>47286.06</v>
      </c>
      <c r="C26" s="161">
        <v>44732.26</v>
      </c>
      <c r="D26" s="161">
        <f>34925.63+766.46</f>
        <v>35692.089999999997</v>
      </c>
      <c r="E26" s="162">
        <f t="shared" si="0"/>
        <v>-5.4007460126726525E-2</v>
      </c>
      <c r="F26" s="114">
        <f t="shared" si="0"/>
        <v>-0.20209508752743555</v>
      </c>
    </row>
    <row r="27" spans="1:6" ht="15" customHeight="1" x14ac:dyDescent="0.35">
      <c r="A27" s="31" t="s">
        <v>65</v>
      </c>
      <c r="B27" s="23">
        <f>B24+B25+B26</f>
        <v>2564356.0299999998</v>
      </c>
      <c r="C27" s="23">
        <f t="shared" ref="C27:D27" si="4">C24+C25+C26</f>
        <v>2609351.9099999997</v>
      </c>
      <c r="D27" s="23">
        <f t="shared" si="4"/>
        <v>2757962.0599999996</v>
      </c>
      <c r="E27" s="24">
        <f t="shared" si="0"/>
        <v>1.7546658682959793E-2</v>
      </c>
      <c r="F27" s="32">
        <f t="shared" si="0"/>
        <v>5.6952896782711093E-2</v>
      </c>
    </row>
    <row r="28" spans="1:6" ht="15" customHeight="1" x14ac:dyDescent="0.35">
      <c r="A28" s="33" t="s">
        <v>66</v>
      </c>
      <c r="B28" s="23">
        <v>400339.8</v>
      </c>
      <c r="C28" s="23">
        <v>495248.49</v>
      </c>
      <c r="D28" s="23">
        <v>487224</v>
      </c>
      <c r="E28" s="24">
        <f t="shared" si="0"/>
        <v>0.23707033375147812</v>
      </c>
      <c r="F28" s="32">
        <f t="shared" si="0"/>
        <v>-1.6202957024664455E-2</v>
      </c>
    </row>
    <row r="29" spans="1:6" s="6" customFormat="1" ht="15" customHeight="1" x14ac:dyDescent="0.35">
      <c r="A29" s="182" t="s">
        <v>26</v>
      </c>
      <c r="B29" s="183">
        <v>365219.94</v>
      </c>
      <c r="C29" s="183">
        <v>458192.95</v>
      </c>
      <c r="D29" s="183">
        <v>449661.16</v>
      </c>
      <c r="E29" s="184">
        <f t="shared" si="0"/>
        <v>0.2545671794371358</v>
      </c>
      <c r="F29" s="185">
        <f t="shared" si="0"/>
        <v>-1.8620517840791773E-2</v>
      </c>
    </row>
    <row r="30" spans="1:6" s="163" customFormat="1" ht="15" customHeight="1" x14ac:dyDescent="0.35">
      <c r="A30" s="171" t="s">
        <v>76</v>
      </c>
      <c r="B30" s="172">
        <f>SUM(B31:B36)</f>
        <v>573866.5</v>
      </c>
      <c r="C30" s="172">
        <f t="shared" ref="C30:D30" si="5">SUM(C31:C36)</f>
        <v>616811.57999999996</v>
      </c>
      <c r="D30" s="172">
        <f t="shared" si="5"/>
        <v>670301.05999999994</v>
      </c>
      <c r="E30" s="169">
        <f t="shared" si="0"/>
        <v>7.483461745893849E-2</v>
      </c>
      <c r="F30" s="170">
        <f t="shared" si="0"/>
        <v>8.6719318726149686E-2</v>
      </c>
    </row>
    <row r="31" spans="1:6" s="9" customFormat="1" ht="15" customHeight="1" x14ac:dyDescent="0.35">
      <c r="A31" s="165" t="s">
        <v>21</v>
      </c>
      <c r="B31" s="166">
        <v>150482.51</v>
      </c>
      <c r="C31" s="166">
        <v>185092.02</v>
      </c>
      <c r="D31" s="166">
        <v>214761.79</v>
      </c>
      <c r="E31" s="167">
        <f t="shared" si="0"/>
        <v>0.22999024936519197</v>
      </c>
      <c r="F31" s="168">
        <f t="shared" si="0"/>
        <v>0.16029740234073842</v>
      </c>
    </row>
    <row r="32" spans="1:6" s="9" customFormat="1" ht="15" customHeight="1" x14ac:dyDescent="0.35">
      <c r="A32" s="165" t="s">
        <v>22</v>
      </c>
      <c r="B32" s="166">
        <v>6866.37</v>
      </c>
      <c r="C32" s="166">
        <v>8172.55</v>
      </c>
      <c r="D32" s="166">
        <v>8545.1200000000008</v>
      </c>
      <c r="E32" s="167">
        <f t="shared" si="0"/>
        <v>0.19022860696408728</v>
      </c>
      <c r="F32" s="168">
        <f t="shared" si="0"/>
        <v>4.5587974377642393E-2</v>
      </c>
    </row>
    <row r="33" spans="1:6" s="9" customFormat="1" ht="15" customHeight="1" x14ac:dyDescent="0.35">
      <c r="A33" s="165" t="s">
        <v>23</v>
      </c>
      <c r="B33" s="166"/>
      <c r="C33" s="166">
        <v>95.99</v>
      </c>
      <c r="D33" s="166"/>
      <c r="E33" s="167" t="str">
        <f t="shared" si="0"/>
        <v/>
      </c>
      <c r="F33" s="168">
        <f t="shared" si="0"/>
        <v>-1</v>
      </c>
    </row>
    <row r="34" spans="1:6" s="9" customFormat="1" ht="15" customHeight="1" x14ac:dyDescent="0.35">
      <c r="A34" s="165" t="s">
        <v>24</v>
      </c>
      <c r="B34" s="166">
        <v>333289.53000000003</v>
      </c>
      <c r="C34" s="166">
        <v>333620.28000000003</v>
      </c>
      <c r="D34" s="166">
        <v>361917.67</v>
      </c>
      <c r="E34" s="167">
        <f t="shared" si="0"/>
        <v>9.923804087095256E-4</v>
      </c>
      <c r="F34" s="168">
        <f t="shared" si="0"/>
        <v>8.4819154279230036E-2</v>
      </c>
    </row>
    <row r="35" spans="1:6" s="9" customFormat="1" ht="15" customHeight="1" x14ac:dyDescent="0.35">
      <c r="A35" s="165" t="s">
        <v>25</v>
      </c>
      <c r="B35" s="166">
        <v>83228.09</v>
      </c>
      <c r="C35" s="166">
        <v>89830.74</v>
      </c>
      <c r="D35" s="166">
        <v>85071.29</v>
      </c>
      <c r="E35" s="167">
        <f t="shared" si="0"/>
        <v>7.9331989956756388E-2</v>
      </c>
      <c r="F35" s="168">
        <f t="shared" si="0"/>
        <v>-5.2982420049083601E-2</v>
      </c>
    </row>
    <row r="36" spans="1:6" s="9" customFormat="1" ht="15" customHeight="1" x14ac:dyDescent="0.35">
      <c r="A36" s="165" t="s">
        <v>32</v>
      </c>
      <c r="B36" s="166"/>
      <c r="C36" s="166"/>
      <c r="D36" s="166">
        <v>5.19</v>
      </c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423246.09</v>
      </c>
      <c r="C37" s="172">
        <v>425197.45000000007</v>
      </c>
      <c r="D37" s="172">
        <v>428467.49</v>
      </c>
      <c r="E37" s="169">
        <f t="shared" si="0"/>
        <v>4.6104619655200629E-3</v>
      </c>
      <c r="F37" s="170">
        <f t="shared" si="0"/>
        <v>7.6906387844044577E-3</v>
      </c>
    </row>
    <row r="38" spans="1:6" s="7" customFormat="1" ht="15" customHeight="1" x14ac:dyDescent="0.35">
      <c r="A38" s="173" t="s">
        <v>70</v>
      </c>
      <c r="B38" s="174">
        <v>397742.75</v>
      </c>
      <c r="C38" s="174">
        <v>398084.4</v>
      </c>
      <c r="D38" s="174">
        <v>402240.8</v>
      </c>
      <c r="E38" s="169">
        <f t="shared" si="0"/>
        <v>8.5897228799280967E-4</v>
      </c>
      <c r="F38" s="170">
        <f t="shared" si="0"/>
        <v>1.0441001958378493E-2</v>
      </c>
    </row>
    <row r="39" spans="1:6" s="10" customFormat="1" ht="15" customHeight="1" x14ac:dyDescent="0.35">
      <c r="A39" s="171" t="s">
        <v>78</v>
      </c>
      <c r="B39" s="172">
        <v>454970.75</v>
      </c>
      <c r="C39" s="172">
        <v>372003.28</v>
      </c>
      <c r="D39" s="172">
        <v>308317.75</v>
      </c>
      <c r="E39" s="169">
        <f t="shared" si="0"/>
        <v>-0.1823578109142181</v>
      </c>
      <c r="F39" s="170">
        <f t="shared" si="0"/>
        <v>-0.17119615181887649</v>
      </c>
    </row>
    <row r="40" spans="1:6" s="10" customFormat="1" ht="15" customHeight="1" x14ac:dyDescent="0.35">
      <c r="A40" s="175" t="s">
        <v>79</v>
      </c>
      <c r="B40" s="176">
        <v>229303.90000000002</v>
      </c>
      <c r="C40" s="176">
        <v>384043.69000000006</v>
      </c>
      <c r="D40" s="176">
        <v>382190.55999999994</v>
      </c>
      <c r="E40" s="177">
        <f t="shared" si="0"/>
        <v>0.67482406535606243</v>
      </c>
      <c r="F40" s="178">
        <f t="shared" si="0"/>
        <v>-4.8253103702865507E-3</v>
      </c>
    </row>
    <row r="41" spans="1:6" ht="15" customHeight="1" x14ac:dyDescent="0.35">
      <c r="A41" s="31" t="s">
        <v>75</v>
      </c>
      <c r="B41" s="23">
        <f>+B30+B37+B39+B40</f>
        <v>1681387.2400000002</v>
      </c>
      <c r="C41" s="23">
        <f>+C30+C37+C39+C40</f>
        <v>1798056</v>
      </c>
      <c r="D41" s="23">
        <f>+D30+D37+D39+D40</f>
        <v>1789276.8599999999</v>
      </c>
      <c r="E41" s="24">
        <f t="shared" si="0"/>
        <v>6.9388393836032458E-2</v>
      </c>
      <c r="F41" s="32">
        <f t="shared" si="0"/>
        <v>-4.8825731790334004E-3</v>
      </c>
    </row>
    <row r="42" spans="1:6" ht="15" customHeight="1" x14ac:dyDescent="0.35">
      <c r="A42" s="33" t="s">
        <v>67</v>
      </c>
      <c r="B42" s="23">
        <v>97791.94</v>
      </c>
      <c r="C42" s="23">
        <v>116748.38</v>
      </c>
      <c r="D42" s="23">
        <v>150334.74</v>
      </c>
      <c r="E42" s="24">
        <f t="shared" si="0"/>
        <v>0.19384460518934388</v>
      </c>
      <c r="F42" s="32">
        <f t="shared" si="0"/>
        <v>0.28768159352617984</v>
      </c>
    </row>
    <row r="43" spans="1:6" ht="15" customHeight="1" x14ac:dyDescent="0.35">
      <c r="A43" s="33" t="s">
        <v>68</v>
      </c>
      <c r="B43" s="23"/>
      <c r="C43" s="23"/>
      <c r="D43" s="23">
        <f>507176-307176</f>
        <v>200000</v>
      </c>
      <c r="E43" s="24" t="str">
        <f t="shared" si="0"/>
        <v/>
      </c>
      <c r="F43" s="32" t="str">
        <f t="shared" si="0"/>
        <v/>
      </c>
    </row>
    <row r="44" spans="1:6" ht="15" customHeight="1" x14ac:dyDescent="0.35">
      <c r="A44" s="33" t="s">
        <v>69</v>
      </c>
      <c r="B44" s="23"/>
      <c r="C44" s="23"/>
      <c r="D44" s="23"/>
      <c r="E44" s="24" t="str">
        <f t="shared" si="0"/>
        <v/>
      </c>
      <c r="F44" s="32" t="str">
        <f t="shared" si="0"/>
        <v/>
      </c>
    </row>
    <row r="45" spans="1:6" ht="15" customHeight="1" x14ac:dyDescent="0.35">
      <c r="A45" s="186" t="s">
        <v>80</v>
      </c>
      <c r="B45" s="187">
        <v>998089.52</v>
      </c>
      <c r="C45" s="187">
        <v>1004451.9</v>
      </c>
      <c r="D45" s="187">
        <v>1153401.96</v>
      </c>
      <c r="E45" s="188">
        <f t="shared" si="0"/>
        <v>6.3745584664589572E-3</v>
      </c>
      <c r="F45" s="189">
        <f t="shared" si="0"/>
        <v>0.14828988824651534</v>
      </c>
    </row>
    <row r="46" spans="1:6" ht="15" customHeight="1" x14ac:dyDescent="0.35">
      <c r="A46" s="171" t="s">
        <v>81</v>
      </c>
      <c r="B46" s="190">
        <v>11310</v>
      </c>
      <c r="C46" s="190">
        <v>50466.93</v>
      </c>
      <c r="D46" s="190">
        <v>368799.5</v>
      </c>
      <c r="E46" s="191">
        <f t="shared" si="0"/>
        <v>3.462151193633952</v>
      </c>
      <c r="F46" s="192">
        <f t="shared" si="0"/>
        <v>6.3077458842850156</v>
      </c>
    </row>
    <row r="47" spans="1:6" ht="15" customHeight="1" x14ac:dyDescent="0.35">
      <c r="A47" s="175" t="s">
        <v>82</v>
      </c>
      <c r="B47" s="196"/>
      <c r="C47" s="196"/>
      <c r="D47" s="196"/>
      <c r="E47" s="194" t="str">
        <f t="shared" si="0"/>
        <v/>
      </c>
      <c r="F47" s="195" t="str">
        <f t="shared" si="0"/>
        <v/>
      </c>
    </row>
    <row r="48" spans="1:6" ht="15" customHeight="1" thickBot="1" x14ac:dyDescent="0.4">
      <c r="A48" s="90" t="s">
        <v>83</v>
      </c>
      <c r="B48" s="91">
        <v>1009399.52</v>
      </c>
      <c r="C48" s="91">
        <v>1054918.83</v>
      </c>
      <c r="D48" s="91">
        <v>1522201.46</v>
      </c>
      <c r="E48" s="92">
        <f t="shared" si="0"/>
        <v>4.5095434560935788E-2</v>
      </c>
      <c r="F48" s="79">
        <f t="shared" si="0"/>
        <v>0.4429560044918337</v>
      </c>
    </row>
    <row r="49" spans="1:7" s="3" customFormat="1" ht="15" customHeight="1" thickBot="1" x14ac:dyDescent="0.4">
      <c r="A49" s="96" t="s">
        <v>28</v>
      </c>
      <c r="B49" s="97">
        <f>B27+B28+B41+B42+B43+B44+B48</f>
        <v>5753274.5300000012</v>
      </c>
      <c r="C49" s="97">
        <f>C27+C28+C41+C42+C43+C44+C48</f>
        <v>6074323.6099999994</v>
      </c>
      <c r="D49" s="97">
        <f>D27+D28+D41+D42+D43+D44+D48</f>
        <v>6906999.1200000001</v>
      </c>
      <c r="E49" s="98">
        <f t="shared" si="0"/>
        <v>5.5802843811104896E-2</v>
      </c>
      <c r="F49" s="99">
        <f t="shared" si="0"/>
        <v>0.13708119018044895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3256446.3</v>
      </c>
      <c r="C51" s="58">
        <f>+C11</f>
        <v>3464760</v>
      </c>
      <c r="D51" s="44">
        <f>+D11</f>
        <v>3554769.5</v>
      </c>
      <c r="E51" s="59">
        <f t="shared" si="0"/>
        <v>6.3969640770676905E-2</v>
      </c>
      <c r="F51" s="28">
        <f t="shared" si="0"/>
        <v>2.5978567058035695E-2</v>
      </c>
    </row>
    <row r="52" spans="1:7" ht="15" customHeight="1" x14ac:dyDescent="0.35">
      <c r="A52" s="40" t="s">
        <v>9</v>
      </c>
      <c r="B52" s="45">
        <f>+B28</f>
        <v>400339.8</v>
      </c>
      <c r="C52" s="49">
        <f>+C28</f>
        <v>495248.49</v>
      </c>
      <c r="D52" s="45">
        <f>+D28</f>
        <v>487224</v>
      </c>
      <c r="E52" s="53">
        <f t="shared" si="0"/>
        <v>0.23707033375147812</v>
      </c>
      <c r="F52" s="30">
        <f t="shared" si="0"/>
        <v>-1.6202957024664455E-2</v>
      </c>
    </row>
    <row r="53" spans="1:7" ht="15" customHeight="1" x14ac:dyDescent="0.35">
      <c r="A53" s="40" t="s">
        <v>10</v>
      </c>
      <c r="B53" s="45">
        <f>+B41</f>
        <v>1681387.2400000002</v>
      </c>
      <c r="C53" s="49">
        <f>+C41</f>
        <v>1798056</v>
      </c>
      <c r="D53" s="45">
        <f>+D41</f>
        <v>1789276.8599999999</v>
      </c>
      <c r="E53" s="53">
        <f t="shared" si="0"/>
        <v>6.9388393836032458E-2</v>
      </c>
      <c r="F53" s="30">
        <f t="shared" si="0"/>
        <v>-4.8825731790334004E-3</v>
      </c>
    </row>
    <row r="54" spans="1:7" s="3" customFormat="1" ht="15" customHeight="1" x14ac:dyDescent="0.35">
      <c r="A54" s="41" t="s">
        <v>11</v>
      </c>
      <c r="B54" s="46">
        <f>B51-B52-B53</f>
        <v>1174719.2599999998</v>
      </c>
      <c r="C54" s="50">
        <f t="shared" ref="C54:D54" si="6">C51-C52-C53</f>
        <v>1171455.5099999998</v>
      </c>
      <c r="D54" s="46">
        <f t="shared" si="6"/>
        <v>1278268.6400000001</v>
      </c>
      <c r="E54" s="54">
        <f t="shared" si="0"/>
        <v>-2.7783233927738404E-3</v>
      </c>
      <c r="F54" s="34">
        <f t="shared" si="0"/>
        <v>9.1179843441088426E-2</v>
      </c>
      <c r="G54" s="4"/>
    </row>
    <row r="55" spans="1:7" ht="15" customHeight="1" x14ac:dyDescent="0.35">
      <c r="A55" s="40" t="s">
        <v>12</v>
      </c>
      <c r="B55" s="45">
        <f>B15</f>
        <v>2651739.38</v>
      </c>
      <c r="C55" s="49">
        <f>C15</f>
        <v>3116143.36</v>
      </c>
      <c r="D55" s="45">
        <f>D15</f>
        <v>2402263.33</v>
      </c>
      <c r="E55" s="53">
        <f t="shared" si="0"/>
        <v>0.17513183365704665</v>
      </c>
      <c r="F55" s="30">
        <f t="shared" si="0"/>
        <v>-0.22909088174941983</v>
      </c>
    </row>
    <row r="56" spans="1:7" ht="15" customHeight="1" x14ac:dyDescent="0.35">
      <c r="A56" s="40" t="s">
        <v>13</v>
      </c>
      <c r="B56" s="45">
        <f>B27</f>
        <v>2564356.0299999998</v>
      </c>
      <c r="C56" s="49">
        <f>C27</f>
        <v>2609351.9099999997</v>
      </c>
      <c r="D56" s="45">
        <f>D27</f>
        <v>2757962.0599999996</v>
      </c>
      <c r="E56" s="53">
        <f t="shared" si="0"/>
        <v>1.7546658682959793E-2</v>
      </c>
      <c r="F56" s="30">
        <f t="shared" si="0"/>
        <v>5.6952896782711093E-2</v>
      </c>
    </row>
    <row r="57" spans="1:7" ht="15" customHeight="1" x14ac:dyDescent="0.35">
      <c r="A57" s="40" t="s">
        <v>14</v>
      </c>
      <c r="B57" s="45">
        <f>B42+B43</f>
        <v>97791.94</v>
      </c>
      <c r="C57" s="49">
        <f t="shared" ref="C57:D57" si="7">C42+C43</f>
        <v>116748.38</v>
      </c>
      <c r="D57" s="45">
        <f t="shared" si="7"/>
        <v>350334.74</v>
      </c>
      <c r="E57" s="53">
        <f t="shared" si="0"/>
        <v>0.19384460518934388</v>
      </c>
      <c r="F57" s="30">
        <f t="shared" si="0"/>
        <v>2.0007674624692862</v>
      </c>
    </row>
    <row r="58" spans="1:7" s="3" customFormat="1" ht="15" customHeight="1" x14ac:dyDescent="0.35">
      <c r="A58" s="42" t="s">
        <v>15</v>
      </c>
      <c r="B58" s="47">
        <f>+B54+B55-B56-B57</f>
        <v>1164310.67</v>
      </c>
      <c r="C58" s="51">
        <f>+C54+C55-C56-C57</f>
        <v>1561498.5799999996</v>
      </c>
      <c r="D58" s="47">
        <f t="shared" ref="D58" si="8">+D54+D55-D56-D57</f>
        <v>572235.17000000062</v>
      </c>
      <c r="E58" s="55">
        <f t="shared" si="0"/>
        <v>0.34113567816053747</v>
      </c>
      <c r="F58" s="35">
        <f t="shared" si="0"/>
        <v>-0.63353462031326302</v>
      </c>
      <c r="G58" s="4"/>
    </row>
    <row r="59" spans="1:7" ht="15" customHeight="1" x14ac:dyDescent="0.35">
      <c r="A59" s="40" t="s">
        <v>16</v>
      </c>
      <c r="B59" s="45">
        <f t="shared" ref="B59:D60" si="9">B20</f>
        <v>1163217.9099999999</v>
      </c>
      <c r="C59" s="49">
        <f t="shared" si="9"/>
        <v>936099.7300000001</v>
      </c>
      <c r="D59" s="45">
        <f t="shared" si="9"/>
        <v>1179465.9300000002</v>
      </c>
      <c r="E59" s="53">
        <f t="shared" si="0"/>
        <v>-0.1952498994792814</v>
      </c>
      <c r="F59" s="30">
        <f t="shared" si="0"/>
        <v>0.25997892339953999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1009399.52</v>
      </c>
      <c r="C61" s="49">
        <f t="shared" ref="C61:D61" si="10">C48</f>
        <v>1054918.83</v>
      </c>
      <c r="D61" s="45">
        <f t="shared" si="10"/>
        <v>1522201.46</v>
      </c>
      <c r="E61" s="53">
        <f t="shared" si="0"/>
        <v>4.5095434560935788E-2</v>
      </c>
      <c r="F61" s="30">
        <f t="shared" si="0"/>
        <v>0.4429560044918337</v>
      </c>
    </row>
    <row r="62" spans="1:7" ht="15" customHeight="1" x14ac:dyDescent="0.35">
      <c r="A62" s="40" t="s">
        <v>19</v>
      </c>
      <c r="B62" s="45">
        <f>B44</f>
        <v>0</v>
      </c>
      <c r="C62" s="49">
        <f t="shared" ref="C62:D62" si="11">C44</f>
        <v>0</v>
      </c>
      <c r="D62" s="45">
        <f t="shared" si="11"/>
        <v>0</v>
      </c>
      <c r="E62" s="53" t="e">
        <f t="shared" si="0"/>
        <v>#DIV/0!</v>
      </c>
      <c r="F62" s="30" t="e">
        <f t="shared" si="0"/>
        <v>#DIV/0!</v>
      </c>
    </row>
    <row r="63" spans="1:7" s="3" customFormat="1" ht="15" customHeight="1" thickBot="1" x14ac:dyDescent="0.4">
      <c r="A63" s="43" t="s">
        <v>20</v>
      </c>
      <c r="B63" s="48">
        <f>B58+B59+B60-B61-B62</f>
        <v>1318129.06</v>
      </c>
      <c r="C63" s="52">
        <f t="shared" ref="C63:D63" si="12">C58+C59+C60-C61-C62</f>
        <v>1442679.4799999995</v>
      </c>
      <c r="D63" s="48">
        <f t="shared" si="12"/>
        <v>229499.64000000083</v>
      </c>
      <c r="E63" s="56">
        <f t="shared" si="0"/>
        <v>9.44903073451695E-2</v>
      </c>
      <c r="F63" s="36">
        <f t="shared" si="0"/>
        <v>-0.84092125577331922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998089.52</v>
      </c>
      <c r="C65" s="26">
        <f t="shared" ref="C65:D65" si="13">C45</f>
        <v>1004451.9</v>
      </c>
      <c r="D65" s="26">
        <f t="shared" si="13"/>
        <v>1153401.96</v>
      </c>
      <c r="E65" s="27">
        <f t="shared" ref="E65:E66" si="14">+IF(ISBLANK(B65),"",+C65/B65-1)</f>
        <v>6.3745584664589572E-3</v>
      </c>
      <c r="F65" s="28">
        <f t="shared" ref="F65:F66" si="15">+IF(ISBLANK(C65),"",+D65/C65-1)</f>
        <v>0.14828988824651534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886485.32</v>
      </c>
      <c r="C66" s="19">
        <f t="shared" si="16"/>
        <v>859748.05</v>
      </c>
      <c r="D66" s="19">
        <f t="shared" si="16"/>
        <v>958264.87</v>
      </c>
      <c r="E66" s="20">
        <f t="shared" si="14"/>
        <v>-3.0160984504514876E-2</v>
      </c>
      <c r="F66" s="30">
        <f t="shared" si="15"/>
        <v>0.11458801215076897</v>
      </c>
    </row>
    <row r="67" spans="1:6" ht="15" customHeight="1" thickBot="1" x14ac:dyDescent="0.4">
      <c r="A67" s="207" t="s">
        <v>85</v>
      </c>
      <c r="B67" s="208">
        <f>B65-B66</f>
        <v>111604.20000000007</v>
      </c>
      <c r="C67" s="208">
        <f t="shared" ref="C67:D67" si="17">C65-C66</f>
        <v>144703.84999999998</v>
      </c>
      <c r="D67" s="208">
        <f t="shared" si="17"/>
        <v>195137.08999999997</v>
      </c>
      <c r="E67" s="209">
        <f>+IF(ISBLANK(B67),"",+C67/B67-1)</f>
        <v>0.29658068423948092</v>
      </c>
      <c r="F67" s="210">
        <f>+IF(ISBLANK(C67),"",+D67/C67-1)</f>
        <v>0.34852728521044885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1C406-068C-453A-AA11-0B1018015533}">
  <sheetPr>
    <tabColor theme="5" tint="0.79998168889431442"/>
    <pageSetUpPr fitToPage="1"/>
  </sheetPr>
  <dimension ref="A1:G72"/>
  <sheetViews>
    <sheetView topLeftCell="A29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5.269531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36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21257195.629999999</v>
      </c>
      <c r="C6" s="102">
        <v>22494988.18</v>
      </c>
      <c r="D6" s="101">
        <v>21858159.489999998</v>
      </c>
      <c r="E6" s="103">
        <f>+IF(ISBLANK(B6),"",+C6/B6-1)</f>
        <v>5.8229343679423007E-2</v>
      </c>
      <c r="F6" s="104">
        <f>+IF(ISBLANK(C6),"",+D6/C6-1)</f>
        <v>-2.830980327281063E-2</v>
      </c>
    </row>
    <row r="7" spans="1:6" ht="15" customHeight="1" x14ac:dyDescent="0.35">
      <c r="A7" s="105" t="s">
        <v>2</v>
      </c>
      <c r="B7" s="106">
        <v>8552619.0500000007</v>
      </c>
      <c r="C7" s="107">
        <v>8269190.2800000003</v>
      </c>
      <c r="D7" s="106">
        <v>8775108.4600000009</v>
      </c>
      <c r="E7" s="108">
        <f t="shared" ref="E7:F63" si="0">+IF(ISBLANK(B7),"",+C7/B7-1)</f>
        <v>-3.3139412423613179E-2</v>
      </c>
      <c r="F7" s="109">
        <f t="shared" si="0"/>
        <v>6.1181102728234737E-2</v>
      </c>
    </row>
    <row r="8" spans="1:6" ht="15" customHeight="1" x14ac:dyDescent="0.35">
      <c r="A8" s="105" t="s">
        <v>4</v>
      </c>
      <c r="B8" s="106">
        <v>189486.46</v>
      </c>
      <c r="C8" s="107">
        <v>185998.64</v>
      </c>
      <c r="D8" s="106">
        <f>188486.41+2497.5</f>
        <v>190983.91</v>
      </c>
      <c r="E8" s="108">
        <f t="shared" si="0"/>
        <v>-1.8406697766162217E-2</v>
      </c>
      <c r="F8" s="109">
        <f t="shared" si="0"/>
        <v>2.6802722858618733E-2</v>
      </c>
    </row>
    <row r="9" spans="1:6" ht="15" customHeight="1" x14ac:dyDescent="0.35">
      <c r="A9" s="105" t="s">
        <v>3</v>
      </c>
      <c r="B9" s="106">
        <v>90067.96</v>
      </c>
      <c r="C9" s="107">
        <v>99394.79</v>
      </c>
      <c r="D9" s="106">
        <v>1948949.43</v>
      </c>
      <c r="E9" s="108">
        <f t="shared" si="0"/>
        <v>0.10355325023460038</v>
      </c>
      <c r="F9" s="109">
        <f t="shared" si="0"/>
        <v>18.608164874637797</v>
      </c>
    </row>
    <row r="10" spans="1:6" ht="15" customHeight="1" x14ac:dyDescent="0.35">
      <c r="A10" s="110" t="s">
        <v>5</v>
      </c>
      <c r="B10" s="111">
        <v>200193.89</v>
      </c>
      <c r="C10" s="112">
        <v>316336.59000000003</v>
      </c>
      <c r="D10" s="111">
        <v>2619099.8199999998</v>
      </c>
      <c r="E10" s="113">
        <f t="shared" si="0"/>
        <v>0.58015107254272347</v>
      </c>
      <c r="F10" s="114">
        <f t="shared" si="0"/>
        <v>7.2794716222995248</v>
      </c>
    </row>
    <row r="11" spans="1:6" s="3" customFormat="1" ht="15" customHeight="1" x14ac:dyDescent="0.35">
      <c r="A11" s="64" t="s">
        <v>62</v>
      </c>
      <c r="B11" s="67">
        <f>SUM(B6:B10)</f>
        <v>30289562.990000002</v>
      </c>
      <c r="C11" s="70">
        <f t="shared" ref="C11:D11" si="1">SUM(C6:C10)</f>
        <v>31365908.48</v>
      </c>
      <c r="D11" s="67">
        <f t="shared" si="1"/>
        <v>35392301.109999999</v>
      </c>
      <c r="E11" s="73">
        <f t="shared" si="0"/>
        <v>3.5535193768076123E-2</v>
      </c>
      <c r="F11" s="38">
        <f t="shared" si="0"/>
        <v>0.12836843646876561</v>
      </c>
    </row>
    <row r="12" spans="1:6" ht="15" customHeight="1" x14ac:dyDescent="0.35">
      <c r="A12" s="115" t="s">
        <v>29</v>
      </c>
      <c r="B12" s="116">
        <v>17327228</v>
      </c>
      <c r="C12" s="117">
        <v>22591240</v>
      </c>
      <c r="D12" s="116">
        <v>23835714</v>
      </c>
      <c r="E12" s="118">
        <f t="shared" si="0"/>
        <v>0.30380000771040816</v>
      </c>
      <c r="F12" s="119">
        <f t="shared" si="0"/>
        <v>5.5086573379770298E-2</v>
      </c>
    </row>
    <row r="13" spans="1:6" ht="15" customHeight="1" x14ac:dyDescent="0.35">
      <c r="A13" s="105" t="s">
        <v>60</v>
      </c>
      <c r="B13" s="106">
        <v>1183826.54</v>
      </c>
      <c r="C13" s="107">
        <v>1293599.6200000001</v>
      </c>
      <c r="D13" s="106">
        <v>1396889.31</v>
      </c>
      <c r="E13" s="108">
        <f t="shared" si="0"/>
        <v>9.2727334867826139E-2</v>
      </c>
      <c r="F13" s="109">
        <f t="shared" si="0"/>
        <v>7.9846722589482555E-2</v>
      </c>
    </row>
    <row r="14" spans="1:6" ht="15" customHeight="1" x14ac:dyDescent="0.35">
      <c r="A14" s="110" t="s">
        <v>61</v>
      </c>
      <c r="B14" s="111">
        <v>33807.949999999255</v>
      </c>
      <c r="C14" s="112">
        <v>75967.550000000745</v>
      </c>
      <c r="D14" s="111">
        <v>701231.21000000159</v>
      </c>
      <c r="E14" s="113">
        <f t="shared" si="0"/>
        <v>1.247032132974712</v>
      </c>
      <c r="F14" s="114">
        <f t="shared" si="0"/>
        <v>8.2306676995637567</v>
      </c>
    </row>
    <row r="15" spans="1:6" s="3" customFormat="1" ht="15" customHeight="1" x14ac:dyDescent="0.35">
      <c r="A15" s="64" t="s">
        <v>63</v>
      </c>
      <c r="B15" s="67">
        <f>SUM(B12:B14)</f>
        <v>18544862.489999998</v>
      </c>
      <c r="C15" s="70">
        <f t="shared" ref="C15:D15" si="2">SUM(C12:C14)</f>
        <v>23960807.170000002</v>
      </c>
      <c r="D15" s="67">
        <f t="shared" si="2"/>
        <v>25933834.52</v>
      </c>
      <c r="E15" s="73">
        <f t="shared" si="0"/>
        <v>0.29204555617063543</v>
      </c>
      <c r="F15" s="38">
        <f t="shared" si="0"/>
        <v>8.2343943424006083E-2</v>
      </c>
    </row>
    <row r="16" spans="1:6" s="11" customFormat="1" ht="15" customHeight="1" x14ac:dyDescent="0.35">
      <c r="A16" s="120" t="s">
        <v>74</v>
      </c>
      <c r="B16" s="121">
        <v>3142479.48</v>
      </c>
      <c r="C16" s="122">
        <v>3286649.37</v>
      </c>
      <c r="D16" s="121">
        <v>3281000.07</v>
      </c>
      <c r="E16" s="123">
        <f t="shared" si="0"/>
        <v>4.5877750648033011E-2</v>
      </c>
      <c r="F16" s="124">
        <f t="shared" si="0"/>
        <v>-1.7188630011969463E-3</v>
      </c>
    </row>
    <row r="17" spans="1:6" s="11" customFormat="1" ht="15" customHeight="1" x14ac:dyDescent="0.35">
      <c r="A17" s="125" t="s">
        <v>71</v>
      </c>
      <c r="B17" s="126">
        <v>7099158</v>
      </c>
      <c r="C17" s="127">
        <v>3000000</v>
      </c>
      <c r="D17" s="126">
        <v>1584499.28</v>
      </c>
      <c r="E17" s="128">
        <f t="shared" si="0"/>
        <v>-0.57741467368383681</v>
      </c>
      <c r="F17" s="129">
        <f t="shared" si="0"/>
        <v>-0.47183357333333331</v>
      </c>
    </row>
    <row r="18" spans="1:6" s="11" customFormat="1" ht="15" customHeight="1" x14ac:dyDescent="0.35">
      <c r="A18" s="125" t="s">
        <v>72</v>
      </c>
      <c r="B18" s="126">
        <v>1997777.72</v>
      </c>
      <c r="C18" s="127">
        <v>0</v>
      </c>
      <c r="D18" s="126">
        <v>0</v>
      </c>
      <c r="E18" s="128">
        <f t="shared" si="0"/>
        <v>-1</v>
      </c>
      <c r="F18" s="129" t="e">
        <f t="shared" si="0"/>
        <v>#DIV/0!</v>
      </c>
    </row>
    <row r="19" spans="1:6" s="11" customFormat="1" ht="15" customHeight="1" x14ac:dyDescent="0.35">
      <c r="A19" s="130" t="s">
        <v>73</v>
      </c>
      <c r="B19" s="131">
        <v>165960.07999999999</v>
      </c>
      <c r="C19" s="132">
        <v>0</v>
      </c>
      <c r="D19" s="131">
        <v>0</v>
      </c>
      <c r="E19" s="133">
        <f t="shared" si="0"/>
        <v>-1</v>
      </c>
      <c r="F19" s="134" t="e">
        <f t="shared" si="0"/>
        <v>#DIV/0!</v>
      </c>
    </row>
    <row r="20" spans="1:6" ht="15" customHeight="1" x14ac:dyDescent="0.35">
      <c r="A20" s="65" t="s">
        <v>84</v>
      </c>
      <c r="B20" s="68">
        <f>SUM(B16:B19)</f>
        <v>12405375.280000001</v>
      </c>
      <c r="C20" s="71">
        <f t="shared" ref="C20:D20" si="3">SUM(C16:C19)</f>
        <v>6286649.3700000001</v>
      </c>
      <c r="D20" s="68">
        <f t="shared" si="3"/>
        <v>4865499.3499999996</v>
      </c>
      <c r="E20" s="74">
        <f t="shared" si="0"/>
        <v>-0.49323182667957144</v>
      </c>
      <c r="F20" s="32">
        <f t="shared" si="0"/>
        <v>-0.22605841941523774</v>
      </c>
    </row>
    <row r="21" spans="1:6" ht="15" customHeight="1" thickBot="1" x14ac:dyDescent="0.4">
      <c r="A21" s="75" t="s">
        <v>64</v>
      </c>
      <c r="B21" s="76">
        <v>4631.74</v>
      </c>
      <c r="C21" s="77"/>
      <c r="D21" s="76"/>
      <c r="E21" s="78">
        <f t="shared" si="0"/>
        <v>-1</v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61244432.500000007</v>
      </c>
      <c r="C22" s="87">
        <f>C11+C15+C20+C21</f>
        <v>61613365.020000003</v>
      </c>
      <c r="D22" s="86">
        <f>D11+D15+D20+D21</f>
        <v>66191634.979999997</v>
      </c>
      <c r="E22" s="88">
        <f t="shared" si="0"/>
        <v>6.0239356450890735E-3</v>
      </c>
      <c r="F22" s="89">
        <f t="shared" si="0"/>
        <v>7.4306442417385599E-2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12772052.189999999</v>
      </c>
      <c r="C24" s="155">
        <v>13991516.800000001</v>
      </c>
      <c r="D24" s="155">
        <v>15329160.42</v>
      </c>
      <c r="E24" s="156">
        <f t="shared" si="0"/>
        <v>9.5479143982420744E-2</v>
      </c>
      <c r="F24" s="104">
        <f t="shared" si="0"/>
        <v>9.5603903359498421E-2</v>
      </c>
    </row>
    <row r="25" spans="1:6" ht="15" customHeight="1" x14ac:dyDescent="0.35">
      <c r="A25" s="157" t="s">
        <v>40</v>
      </c>
      <c r="B25" s="158">
        <v>5720871.8599999994</v>
      </c>
      <c r="C25" s="158">
        <v>6123481.9100000001</v>
      </c>
      <c r="D25" s="158">
        <v>6482055.7300000004</v>
      </c>
      <c r="E25" s="159">
        <f t="shared" si="0"/>
        <v>7.0375645505194262E-2</v>
      </c>
      <c r="F25" s="109">
        <f t="shared" si="0"/>
        <v>5.8557177970008922E-2</v>
      </c>
    </row>
    <row r="26" spans="1:6" ht="15" customHeight="1" x14ac:dyDescent="0.35">
      <c r="A26" s="160" t="s">
        <v>41</v>
      </c>
      <c r="B26" s="161">
        <v>356101.93</v>
      </c>
      <c r="C26" s="161">
        <v>367147.96</v>
      </c>
      <c r="D26" s="161">
        <v>143915.16999999998</v>
      </c>
      <c r="E26" s="162">
        <f t="shared" si="0"/>
        <v>3.1019292706445212E-2</v>
      </c>
      <c r="F26" s="114">
        <f t="shared" si="0"/>
        <v>-0.6080186037258658</v>
      </c>
    </row>
    <row r="27" spans="1:6" ht="15" customHeight="1" x14ac:dyDescent="0.35">
      <c r="A27" s="31" t="s">
        <v>65</v>
      </c>
      <c r="B27" s="23">
        <f>B24+B25+B26</f>
        <v>18849025.979999997</v>
      </c>
      <c r="C27" s="23">
        <f t="shared" ref="C27:D27" si="4">C24+C25+C26</f>
        <v>20482146.670000002</v>
      </c>
      <c r="D27" s="23">
        <f t="shared" si="4"/>
        <v>21955131.32</v>
      </c>
      <c r="E27" s="24">
        <f t="shared" si="0"/>
        <v>8.6642179374830874E-2</v>
      </c>
      <c r="F27" s="32">
        <f t="shared" si="0"/>
        <v>7.1915540579419179E-2</v>
      </c>
    </row>
    <row r="28" spans="1:6" ht="15" customHeight="1" x14ac:dyDescent="0.35">
      <c r="A28" s="33" t="s">
        <v>66</v>
      </c>
      <c r="B28" s="23">
        <v>5294121.7</v>
      </c>
      <c r="C28" s="23">
        <f>7001477.23-5032.15</f>
        <v>6996445.0800000001</v>
      </c>
      <c r="D28" s="23">
        <f>8337295.71-6.7</f>
        <v>8337289.0099999998</v>
      </c>
      <c r="E28" s="24">
        <f t="shared" si="0"/>
        <v>0.32154972561359885</v>
      </c>
      <c r="F28" s="32">
        <f t="shared" si="0"/>
        <v>0.19164645969035465</v>
      </c>
    </row>
    <row r="29" spans="1:6" s="6" customFormat="1" ht="15" customHeight="1" x14ac:dyDescent="0.35">
      <c r="A29" s="182" t="s">
        <v>26</v>
      </c>
      <c r="B29" s="183">
        <v>4905606.13</v>
      </c>
      <c r="C29" s="183">
        <v>6552898.9400000004</v>
      </c>
      <c r="D29" s="183">
        <v>7766756.4399999995</v>
      </c>
      <c r="E29" s="184">
        <f t="shared" si="0"/>
        <v>0.33579801687013977</v>
      </c>
      <c r="F29" s="185">
        <f t="shared" si="0"/>
        <v>0.18523977114776002</v>
      </c>
    </row>
    <row r="30" spans="1:6" s="163" customFormat="1" ht="15" customHeight="1" x14ac:dyDescent="0.35">
      <c r="A30" s="171" t="s">
        <v>76</v>
      </c>
      <c r="B30" s="172">
        <f>SUM(B31:B36)</f>
        <v>4656148.37</v>
      </c>
      <c r="C30" s="172">
        <f t="shared" ref="C30:D30" si="5">SUM(C31:C36)</f>
        <v>5793015.0699999994</v>
      </c>
      <c r="D30" s="172">
        <f t="shared" si="5"/>
        <v>5574473.7400000002</v>
      </c>
      <c r="E30" s="169">
        <f t="shared" si="0"/>
        <v>0.24416462055310295</v>
      </c>
      <c r="F30" s="170">
        <f t="shared" si="0"/>
        <v>-3.7724971773636207E-2</v>
      </c>
    </row>
    <row r="31" spans="1:6" s="9" customFormat="1" ht="15" customHeight="1" x14ac:dyDescent="0.35">
      <c r="A31" s="165" t="s">
        <v>21</v>
      </c>
      <c r="B31" s="166">
        <v>1898679.55</v>
      </c>
      <c r="C31" s="166">
        <v>2958170.61</v>
      </c>
      <c r="D31" s="166">
        <v>2036970.94</v>
      </c>
      <c r="E31" s="167">
        <f t="shared" si="0"/>
        <v>0.5580146792016587</v>
      </c>
      <c r="F31" s="168">
        <f t="shared" si="0"/>
        <v>-0.31140856679662565</v>
      </c>
    </row>
    <row r="32" spans="1:6" s="9" customFormat="1" ht="15" customHeight="1" x14ac:dyDescent="0.35">
      <c r="A32" s="165" t="s">
        <v>22</v>
      </c>
      <c r="B32" s="166">
        <v>45283.199999999997</v>
      </c>
      <c r="C32" s="166">
        <v>48701.17</v>
      </c>
      <c r="D32" s="166">
        <v>43136.3</v>
      </c>
      <c r="E32" s="167">
        <f t="shared" si="0"/>
        <v>7.5479868913857606E-2</v>
      </c>
      <c r="F32" s="168">
        <f t="shared" si="0"/>
        <v>-0.11426563263264511</v>
      </c>
    </row>
    <row r="33" spans="1:6" s="9" customFormat="1" ht="15" customHeight="1" x14ac:dyDescent="0.35">
      <c r="A33" s="165" t="s">
        <v>23</v>
      </c>
      <c r="B33" s="166">
        <v>440462.54</v>
      </c>
      <c r="C33" s="166">
        <v>596056.91</v>
      </c>
      <c r="D33" s="166">
        <v>620657.68000000005</v>
      </c>
      <c r="E33" s="167">
        <f t="shared" si="0"/>
        <v>0.35325221981419808</v>
      </c>
      <c r="F33" s="168">
        <f t="shared" si="0"/>
        <v>4.1272518759995602E-2</v>
      </c>
    </row>
    <row r="34" spans="1:6" s="9" customFormat="1" ht="15" customHeight="1" x14ac:dyDescent="0.35">
      <c r="A34" s="165" t="s">
        <v>24</v>
      </c>
      <c r="B34" s="166">
        <v>1173452.8</v>
      </c>
      <c r="C34" s="166">
        <v>1010682.16</v>
      </c>
      <c r="D34" s="166">
        <v>1201614.56</v>
      </c>
      <c r="E34" s="167">
        <f t="shared" si="0"/>
        <v>-0.13871085398577598</v>
      </c>
      <c r="F34" s="168">
        <f t="shared" si="0"/>
        <v>0.18891438629924973</v>
      </c>
    </row>
    <row r="35" spans="1:6" s="9" customFormat="1" ht="15" customHeight="1" x14ac:dyDescent="0.35">
      <c r="A35" s="165" t="s">
        <v>25</v>
      </c>
      <c r="B35" s="166">
        <v>1098270.28</v>
      </c>
      <c r="C35" s="166">
        <v>1179404.22</v>
      </c>
      <c r="D35" s="166">
        <v>1672094.26</v>
      </c>
      <c r="E35" s="167">
        <f t="shared" si="0"/>
        <v>7.3874292583060663E-2</v>
      </c>
      <c r="F35" s="168">
        <f t="shared" si="0"/>
        <v>0.41774485087055235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11048005.98</v>
      </c>
      <c r="C37" s="172">
        <v>12005179.259999998</v>
      </c>
      <c r="D37" s="172">
        <f>12621576.17+899.23</f>
        <v>12622475.4</v>
      </c>
      <c r="E37" s="169">
        <f t="shared" si="0"/>
        <v>8.6637650426036217E-2</v>
      </c>
      <c r="F37" s="170">
        <f t="shared" si="0"/>
        <v>5.1419152236799048E-2</v>
      </c>
    </row>
    <row r="38" spans="1:6" s="7" customFormat="1" ht="15" customHeight="1" x14ac:dyDescent="0.35">
      <c r="A38" s="173" t="s">
        <v>70</v>
      </c>
      <c r="B38" s="174">
        <v>10549568.42</v>
      </c>
      <c r="C38" s="174">
        <v>11408496.439999999</v>
      </c>
      <c r="D38" s="174">
        <v>11834726.98</v>
      </c>
      <c r="E38" s="169">
        <f t="shared" si="0"/>
        <v>8.1418308863861588E-2</v>
      </c>
      <c r="F38" s="170">
        <f t="shared" si="0"/>
        <v>3.7360798790765148E-2</v>
      </c>
    </row>
    <row r="39" spans="1:6" s="10" customFormat="1" ht="15" customHeight="1" x14ac:dyDescent="0.35">
      <c r="A39" s="171" t="s">
        <v>78</v>
      </c>
      <c r="B39" s="172">
        <v>7041091.3000000007</v>
      </c>
      <c r="C39" s="172">
        <v>4547594.4800000004</v>
      </c>
      <c r="D39" s="172">
        <v>4941211</v>
      </c>
      <c r="E39" s="169">
        <f t="shared" si="0"/>
        <v>-0.3541349932502651</v>
      </c>
      <c r="F39" s="170">
        <f t="shared" si="0"/>
        <v>8.6554885606246801E-2</v>
      </c>
    </row>
    <row r="40" spans="1:6" s="10" customFormat="1" ht="15" customHeight="1" x14ac:dyDescent="0.35">
      <c r="A40" s="175" t="s">
        <v>79</v>
      </c>
      <c r="B40" s="176">
        <v>3274731.0299999984</v>
      </c>
      <c r="C40" s="176">
        <f>5711547.63+5032.15</f>
        <v>5716579.7800000003</v>
      </c>
      <c r="D40" s="176">
        <f>5855999.65+6.7</f>
        <v>5856006.3500000006</v>
      </c>
      <c r="E40" s="177">
        <f t="shared" si="0"/>
        <v>0.74566391182362324</v>
      </c>
      <c r="F40" s="178">
        <f t="shared" si="0"/>
        <v>2.4389858160958067E-2</v>
      </c>
    </row>
    <row r="41" spans="1:6" ht="15" customHeight="1" x14ac:dyDescent="0.35">
      <c r="A41" s="31" t="s">
        <v>75</v>
      </c>
      <c r="B41" s="23">
        <f>+B30+B37+B39+B40</f>
        <v>26019976.68</v>
      </c>
      <c r="C41" s="23">
        <f>+C30+C37+C39+C40</f>
        <v>28062368.59</v>
      </c>
      <c r="D41" s="23">
        <f>+D30+D37+D39+D40</f>
        <v>28994166.490000002</v>
      </c>
      <c r="E41" s="24">
        <f t="shared" si="0"/>
        <v>7.8493225997772198E-2</v>
      </c>
      <c r="F41" s="32">
        <f t="shared" si="0"/>
        <v>3.3204534998946933E-2</v>
      </c>
    </row>
    <row r="42" spans="1:6" ht="15" customHeight="1" x14ac:dyDescent="0.35">
      <c r="A42" s="33" t="s">
        <v>67</v>
      </c>
      <c r="B42" s="23">
        <v>2759117.84</v>
      </c>
      <c r="C42" s="23">
        <v>1442474.73</v>
      </c>
      <c r="D42" s="23">
        <v>1975178.38</v>
      </c>
      <c r="E42" s="24">
        <f t="shared" si="0"/>
        <v>-0.47719712834012196</v>
      </c>
      <c r="F42" s="32">
        <f t="shared" si="0"/>
        <v>0.36929842784836864</v>
      </c>
    </row>
    <row r="43" spans="1:6" ht="15" customHeight="1" x14ac:dyDescent="0.35">
      <c r="A43" s="33" t="s">
        <v>68</v>
      </c>
      <c r="B43" s="23">
        <v>12207.5</v>
      </c>
      <c r="C43" s="23">
        <v>55000</v>
      </c>
      <c r="D43" s="23">
        <v>48452</v>
      </c>
      <c r="E43" s="24">
        <f t="shared" si="0"/>
        <v>3.5054269916035228</v>
      </c>
      <c r="F43" s="32">
        <f t="shared" si="0"/>
        <v>-0.11905454545454541</v>
      </c>
    </row>
    <row r="44" spans="1:6" ht="15" customHeight="1" x14ac:dyDescent="0.35">
      <c r="A44" s="33" t="s">
        <v>69</v>
      </c>
      <c r="B44" s="23">
        <v>2546.4299999999998</v>
      </c>
      <c r="C44" s="23">
        <v>2584.85</v>
      </c>
      <c r="D44" s="23">
        <v>8790</v>
      </c>
      <c r="E44" s="24">
        <f t="shared" si="0"/>
        <v>1.5087789572067578E-2</v>
      </c>
      <c r="F44" s="32">
        <f t="shared" si="0"/>
        <v>2.4005841731628528</v>
      </c>
    </row>
    <row r="45" spans="1:6" ht="15" customHeight="1" x14ac:dyDescent="0.35">
      <c r="A45" s="186" t="s">
        <v>80</v>
      </c>
      <c r="B45" s="187">
        <v>3576327.92</v>
      </c>
      <c r="C45" s="187">
        <v>3735700.99</v>
      </c>
      <c r="D45" s="187">
        <v>3783977.92</v>
      </c>
      <c r="E45" s="188">
        <f t="shared" si="0"/>
        <v>4.4563326843920947E-2</v>
      </c>
      <c r="F45" s="189">
        <f t="shared" si="0"/>
        <v>1.2923124770754191E-2</v>
      </c>
    </row>
    <row r="46" spans="1:6" ht="15" customHeight="1" x14ac:dyDescent="0.35">
      <c r="A46" s="171" t="s">
        <v>81</v>
      </c>
      <c r="B46" s="190">
        <v>4909118</v>
      </c>
      <c r="C46" s="190">
        <v>850727.8</v>
      </c>
      <c r="D46" s="190">
        <v>482500</v>
      </c>
      <c r="E46" s="191">
        <f t="shared" si="0"/>
        <v>-0.82670455263043174</v>
      </c>
      <c r="F46" s="192">
        <f t="shared" si="0"/>
        <v>-0.4328385648147387</v>
      </c>
    </row>
    <row r="47" spans="1:6" ht="15" customHeight="1" x14ac:dyDescent="0.35">
      <c r="A47" s="175" t="s">
        <v>82</v>
      </c>
      <c r="B47" s="193">
        <v>1019406.18</v>
      </c>
      <c r="C47" s="193"/>
      <c r="D47" s="193"/>
      <c r="E47" s="194">
        <f t="shared" si="0"/>
        <v>-1</v>
      </c>
      <c r="F47" s="195" t="str">
        <f t="shared" si="0"/>
        <v/>
      </c>
    </row>
    <row r="48" spans="1:6" ht="15" customHeight="1" thickBot="1" x14ac:dyDescent="0.4">
      <c r="A48" s="90" t="s">
        <v>83</v>
      </c>
      <c r="B48" s="91">
        <v>9504852.0999999996</v>
      </c>
      <c r="C48" s="91">
        <v>4586428.79</v>
      </c>
      <c r="D48" s="91">
        <v>4266477.92</v>
      </c>
      <c r="E48" s="92">
        <f t="shared" si="0"/>
        <v>-0.51746447585439026</v>
      </c>
      <c r="F48" s="79">
        <f t="shared" si="0"/>
        <v>-6.9760348334112043E-2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62441848.230000004</v>
      </c>
      <c r="C49" s="97">
        <f>C27+C28+C41+C42+C43+C44+C48</f>
        <v>61627448.710000001</v>
      </c>
      <c r="D49" s="97">
        <f>D27+D28+D41+D42+D43+D44+D48</f>
        <v>65585485.120000005</v>
      </c>
      <c r="E49" s="98">
        <f t="shared" si="0"/>
        <v>-1.3042527456910369E-2</v>
      </c>
      <c r="F49" s="99">
        <f t="shared" si="0"/>
        <v>6.4225219327597394E-2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30289562.990000002</v>
      </c>
      <c r="C51" s="58">
        <f>+C11</f>
        <v>31365908.48</v>
      </c>
      <c r="D51" s="44">
        <f>+D11</f>
        <v>35392301.109999999</v>
      </c>
      <c r="E51" s="59">
        <f t="shared" si="0"/>
        <v>3.5535193768076123E-2</v>
      </c>
      <c r="F51" s="28">
        <f t="shared" si="0"/>
        <v>0.12836843646876561</v>
      </c>
    </row>
    <row r="52" spans="1:7" ht="15" customHeight="1" x14ac:dyDescent="0.35">
      <c r="A52" s="40" t="s">
        <v>9</v>
      </c>
      <c r="B52" s="45">
        <f>+B28</f>
        <v>5294121.7</v>
      </c>
      <c r="C52" s="49">
        <f>+C28</f>
        <v>6996445.0800000001</v>
      </c>
      <c r="D52" s="45">
        <f>+D28</f>
        <v>8337289.0099999998</v>
      </c>
      <c r="E52" s="53">
        <f t="shared" si="0"/>
        <v>0.32154972561359885</v>
      </c>
      <c r="F52" s="30">
        <f t="shared" si="0"/>
        <v>0.19164645969035465</v>
      </c>
    </row>
    <row r="53" spans="1:7" ht="15" customHeight="1" x14ac:dyDescent="0.35">
      <c r="A53" s="40" t="s">
        <v>10</v>
      </c>
      <c r="B53" s="45">
        <f>+B41</f>
        <v>26019976.68</v>
      </c>
      <c r="C53" s="49">
        <f>+C41</f>
        <v>28062368.59</v>
      </c>
      <c r="D53" s="45">
        <f>+D41</f>
        <v>28994166.490000002</v>
      </c>
      <c r="E53" s="53">
        <f t="shared" si="0"/>
        <v>7.8493225997772198E-2</v>
      </c>
      <c r="F53" s="30">
        <f t="shared" si="0"/>
        <v>3.3204534998946933E-2</v>
      </c>
    </row>
    <row r="54" spans="1:7" s="3" customFormat="1" ht="15" customHeight="1" x14ac:dyDescent="0.35">
      <c r="A54" s="41" t="s">
        <v>11</v>
      </c>
      <c r="B54" s="46">
        <f>B51-B52-B53</f>
        <v>-1024535.3899999969</v>
      </c>
      <c r="C54" s="50">
        <f t="shared" ref="C54:D54" si="6">C51-C52-C53</f>
        <v>-3692905.1900000013</v>
      </c>
      <c r="D54" s="46">
        <f t="shared" si="6"/>
        <v>-1939154.3900000006</v>
      </c>
      <c r="E54" s="54">
        <f t="shared" si="0"/>
        <v>2.6044681580008793</v>
      </c>
      <c r="F54" s="34">
        <f t="shared" si="0"/>
        <v>-0.47489732602639612</v>
      </c>
      <c r="G54" s="4"/>
    </row>
    <row r="55" spans="1:7" ht="15" customHeight="1" x14ac:dyDescent="0.35">
      <c r="A55" s="40" t="s">
        <v>12</v>
      </c>
      <c r="B55" s="45">
        <f>B15</f>
        <v>18544862.489999998</v>
      </c>
      <c r="C55" s="49">
        <f>C15</f>
        <v>23960807.170000002</v>
      </c>
      <c r="D55" s="45">
        <f>D15</f>
        <v>25933834.52</v>
      </c>
      <c r="E55" s="53">
        <f t="shared" si="0"/>
        <v>0.29204555617063543</v>
      </c>
      <c r="F55" s="30">
        <f t="shared" si="0"/>
        <v>8.2343943424006083E-2</v>
      </c>
    </row>
    <row r="56" spans="1:7" ht="15" customHeight="1" x14ac:dyDescent="0.35">
      <c r="A56" s="40" t="s">
        <v>13</v>
      </c>
      <c r="B56" s="45">
        <f>B27</f>
        <v>18849025.979999997</v>
      </c>
      <c r="C56" s="49">
        <f>C27</f>
        <v>20482146.670000002</v>
      </c>
      <c r="D56" s="45">
        <f>D27</f>
        <v>21955131.32</v>
      </c>
      <c r="E56" s="53">
        <f t="shared" si="0"/>
        <v>8.6642179374830874E-2</v>
      </c>
      <c r="F56" s="30">
        <f t="shared" si="0"/>
        <v>7.1915540579419179E-2</v>
      </c>
    </row>
    <row r="57" spans="1:7" ht="15" customHeight="1" x14ac:dyDescent="0.35">
      <c r="A57" s="40" t="s">
        <v>14</v>
      </c>
      <c r="B57" s="45">
        <f>B42+B43</f>
        <v>2771325.34</v>
      </c>
      <c r="C57" s="49">
        <f t="shared" ref="C57:D57" si="7">C42+C43</f>
        <v>1497474.73</v>
      </c>
      <c r="D57" s="45">
        <f t="shared" si="7"/>
        <v>2023630.38</v>
      </c>
      <c r="E57" s="53">
        <f t="shared" si="0"/>
        <v>-0.45965393943967614</v>
      </c>
      <c r="F57" s="30">
        <f t="shared" si="0"/>
        <v>0.35136195587086805</v>
      </c>
    </row>
    <row r="58" spans="1:7" s="3" customFormat="1" ht="15" customHeight="1" x14ac:dyDescent="0.35">
      <c r="A58" s="42" t="s">
        <v>15</v>
      </c>
      <c r="B58" s="47">
        <f>+B54+B55-B56-B57</f>
        <v>-4100024.2199999951</v>
      </c>
      <c r="C58" s="51">
        <f>+C54+C55-C56-C57</f>
        <v>-1711719.4200000013</v>
      </c>
      <c r="D58" s="47">
        <f t="shared" ref="D58" si="8">+D54+D55-D56-D57</f>
        <v>15918.429999998771</v>
      </c>
      <c r="E58" s="55">
        <f t="shared" si="0"/>
        <v>-0.58250992478283381</v>
      </c>
      <c r="F58" s="35">
        <f t="shared" si="0"/>
        <v>-1.0092996724895478</v>
      </c>
      <c r="G58" s="4"/>
    </row>
    <row r="59" spans="1:7" ht="15" customHeight="1" x14ac:dyDescent="0.35">
      <c r="A59" s="40" t="s">
        <v>16</v>
      </c>
      <c r="B59" s="45">
        <f t="shared" ref="B59:D60" si="9">B20</f>
        <v>12405375.280000001</v>
      </c>
      <c r="C59" s="49">
        <f t="shared" si="9"/>
        <v>6286649.3700000001</v>
      </c>
      <c r="D59" s="45">
        <f t="shared" si="9"/>
        <v>4865499.3499999996</v>
      </c>
      <c r="E59" s="53">
        <f t="shared" si="0"/>
        <v>-0.49323182667957144</v>
      </c>
      <c r="F59" s="30">
        <f t="shared" si="0"/>
        <v>-0.22605841941523774</v>
      </c>
    </row>
    <row r="60" spans="1:7" ht="15" customHeight="1" x14ac:dyDescent="0.35">
      <c r="A60" s="40" t="s">
        <v>17</v>
      </c>
      <c r="B60" s="45">
        <f t="shared" si="9"/>
        <v>4631.74</v>
      </c>
      <c r="C60" s="49">
        <f t="shared" si="9"/>
        <v>0</v>
      </c>
      <c r="D60" s="45">
        <f t="shared" si="9"/>
        <v>0</v>
      </c>
      <c r="E60" s="53">
        <f t="shared" si="0"/>
        <v>-1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9504852.0999999996</v>
      </c>
      <c r="C61" s="49">
        <f t="shared" ref="C61:D61" si="10">C48</f>
        <v>4586428.79</v>
      </c>
      <c r="D61" s="45">
        <f t="shared" si="10"/>
        <v>4266477.92</v>
      </c>
      <c r="E61" s="53">
        <f t="shared" si="0"/>
        <v>-0.51746447585439026</v>
      </c>
      <c r="F61" s="30">
        <f t="shared" si="0"/>
        <v>-6.9760348334112043E-2</v>
      </c>
    </row>
    <row r="62" spans="1:7" ht="15" customHeight="1" x14ac:dyDescent="0.35">
      <c r="A62" s="40" t="s">
        <v>19</v>
      </c>
      <c r="B62" s="45">
        <f>B44</f>
        <v>2546.4299999999998</v>
      </c>
      <c r="C62" s="49">
        <f t="shared" ref="C62:D62" si="11">C44</f>
        <v>2584.85</v>
      </c>
      <c r="D62" s="45">
        <f t="shared" si="11"/>
        <v>8790</v>
      </c>
      <c r="E62" s="53">
        <f t="shared" si="0"/>
        <v>1.5087789572067578E-2</v>
      </c>
      <c r="F62" s="30">
        <f t="shared" si="0"/>
        <v>2.4005841731628528</v>
      </c>
    </row>
    <row r="63" spans="1:7" s="3" customFormat="1" ht="15" customHeight="1" thickBot="1" x14ac:dyDescent="0.4">
      <c r="A63" s="43" t="s">
        <v>20</v>
      </c>
      <c r="B63" s="48">
        <f>B58+B59+B60-B61-B62</f>
        <v>-1197415.7299999932</v>
      </c>
      <c r="C63" s="52">
        <f t="shared" ref="C63:D63" si="12">C58+C59+C60-C61-C62</f>
        <v>-14083.690000000783</v>
      </c>
      <c r="D63" s="48">
        <f t="shared" si="12"/>
        <v>606149.85999999847</v>
      </c>
      <c r="E63" s="56">
        <f t="shared" si="0"/>
        <v>-0.9882382620779494</v>
      </c>
      <c r="F63" s="36">
        <f t="shared" si="0"/>
        <v>-44.039136760320964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3576327.92</v>
      </c>
      <c r="C65" s="26">
        <f t="shared" ref="C65:D65" si="13">C45</f>
        <v>3735700.99</v>
      </c>
      <c r="D65" s="26">
        <f t="shared" si="13"/>
        <v>3783977.92</v>
      </c>
      <c r="E65" s="27">
        <f t="shared" ref="E65:E66" si="14">+IF(ISBLANK(B65),"",+C65/B65-1)</f>
        <v>4.4563326843920947E-2</v>
      </c>
      <c r="F65" s="28">
        <f t="shared" ref="F65:F66" si="15">+IF(ISBLANK(C65),"",+D65/C65-1)</f>
        <v>1.2923124770754191E-2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3142479.48</v>
      </c>
      <c r="C66" s="19">
        <f t="shared" si="16"/>
        <v>3286649.37</v>
      </c>
      <c r="D66" s="19">
        <f t="shared" si="16"/>
        <v>3281000.07</v>
      </c>
      <c r="E66" s="20">
        <f t="shared" si="14"/>
        <v>4.5877750648033011E-2</v>
      </c>
      <c r="F66" s="30">
        <f t="shared" si="15"/>
        <v>-1.7188630011969463E-3</v>
      </c>
    </row>
    <row r="67" spans="1:6" ht="15" customHeight="1" thickBot="1" x14ac:dyDescent="0.4">
      <c r="A67" s="207" t="s">
        <v>85</v>
      </c>
      <c r="B67" s="208">
        <f>B65-B66</f>
        <v>433848.43999999994</v>
      </c>
      <c r="C67" s="208">
        <f t="shared" ref="C67:D67" si="17">C65-C66</f>
        <v>449051.62000000011</v>
      </c>
      <c r="D67" s="208">
        <f t="shared" si="17"/>
        <v>502977.85000000009</v>
      </c>
      <c r="E67" s="209">
        <f>+IF(ISBLANK(B67),"",+C67/B67-1)</f>
        <v>3.5042606123004916E-2</v>
      </c>
      <c r="F67" s="210">
        <f>+IF(ISBLANK(C67),"",+D67/C67-1)</f>
        <v>0.12008915589704361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E16D7-ACE2-4FEE-9176-F610FFA011A2}">
  <sheetPr>
    <tabColor theme="5" tint="0.79998168889431442"/>
    <pageSetUpPr fitToPage="1"/>
  </sheetPr>
  <dimension ref="A1:G72"/>
  <sheetViews>
    <sheetView topLeftCell="A31" zoomScaleNormal="100" zoomScaleSheetLayoutView="110" workbookViewId="0">
      <selection activeCell="F68" sqref="F68"/>
    </sheetView>
  </sheetViews>
  <sheetFormatPr baseColWidth="10" defaultColWidth="10.81640625" defaultRowHeight="15" customHeight="1" x14ac:dyDescent="0.35"/>
  <cols>
    <col min="1" max="1" width="56.81640625" style="1" bestFit="1" customWidth="1"/>
    <col min="2" max="3" width="14.7265625" style="2" bestFit="1" customWidth="1"/>
    <col min="4" max="4" width="14.81640625" style="2" bestFit="1" customWidth="1"/>
    <col min="5" max="6" width="8.54296875" style="1" customWidth="1"/>
    <col min="7" max="7" width="14.1796875" style="1" bestFit="1" customWidth="1"/>
    <col min="8" max="16384" width="10.81640625" style="1"/>
  </cols>
  <sheetData>
    <row r="1" spans="1:6" ht="15" customHeight="1" x14ac:dyDescent="0.35">
      <c r="A1" s="211" t="s">
        <v>86</v>
      </c>
      <c r="B1" s="211"/>
      <c r="C1" s="211"/>
      <c r="D1" s="211"/>
      <c r="E1" s="211"/>
      <c r="F1" s="211"/>
    </row>
    <row r="3" spans="1:6" s="16" customFormat="1" ht="15" customHeight="1" x14ac:dyDescent="0.35">
      <c r="A3" s="13" t="s">
        <v>0</v>
      </c>
      <c r="B3" s="14" t="s">
        <v>37</v>
      </c>
      <c r="C3" s="15"/>
      <c r="D3" s="15"/>
    </row>
    <row r="4" spans="1:6" ht="15" customHeight="1" thickBot="1" x14ac:dyDescent="0.4"/>
    <row r="5" spans="1:6" ht="30" customHeight="1" thickBot="1" x14ac:dyDescent="0.4">
      <c r="B5" s="66">
        <v>2022</v>
      </c>
      <c r="C5" s="69">
        <v>2023</v>
      </c>
      <c r="D5" s="66">
        <v>2024</v>
      </c>
      <c r="E5" s="72" t="s">
        <v>6</v>
      </c>
      <c r="F5" s="63" t="s">
        <v>7</v>
      </c>
    </row>
    <row r="6" spans="1:6" ht="15" customHeight="1" x14ac:dyDescent="0.35">
      <c r="A6" s="100" t="s">
        <v>1</v>
      </c>
      <c r="B6" s="101">
        <v>24203831.600000001</v>
      </c>
      <c r="C6" s="102">
        <v>24587801.420000002</v>
      </c>
      <c r="D6" s="101">
        <v>25921014.969999999</v>
      </c>
      <c r="E6" s="103">
        <f>+IF(ISBLANK(B6),"",+C6/B6-1)</f>
        <v>1.5864009729765316E-2</v>
      </c>
      <c r="F6" s="104">
        <f>+IF(ISBLANK(C6),"",+D6/C6-1)</f>
        <v>5.4222560497643624E-2</v>
      </c>
    </row>
    <row r="7" spans="1:6" ht="15" customHeight="1" x14ac:dyDescent="0.35">
      <c r="A7" s="105" t="s">
        <v>2</v>
      </c>
      <c r="B7" s="106">
        <v>7704826.5999999996</v>
      </c>
      <c r="C7" s="107">
        <v>8087186.1299999999</v>
      </c>
      <c r="D7" s="106">
        <v>8617326.4399999995</v>
      </c>
      <c r="E7" s="108">
        <f t="shared" ref="E7:F63" si="0">+IF(ISBLANK(B7),"",+C7/B7-1)</f>
        <v>4.9625974710449716E-2</v>
      </c>
      <c r="F7" s="109">
        <f t="shared" si="0"/>
        <v>6.555312335812391E-2</v>
      </c>
    </row>
    <row r="8" spans="1:6" ht="15" customHeight="1" x14ac:dyDescent="0.35">
      <c r="A8" s="105" t="s">
        <v>4</v>
      </c>
      <c r="B8" s="106">
        <v>271744.13</v>
      </c>
      <c r="C8" s="107">
        <v>268359.08</v>
      </c>
      <c r="D8" s="106">
        <v>72434.460000000006</v>
      </c>
      <c r="E8" s="108">
        <f t="shared" si="0"/>
        <v>-1.2456754815642124E-2</v>
      </c>
      <c r="F8" s="109">
        <f t="shared" si="0"/>
        <v>-0.73008381158558144</v>
      </c>
    </row>
    <row r="9" spans="1:6" ht="15" customHeight="1" x14ac:dyDescent="0.35">
      <c r="A9" s="105" t="s">
        <v>3</v>
      </c>
      <c r="B9" s="106">
        <v>160064.34</v>
      </c>
      <c r="C9" s="107">
        <v>137519.82999999999</v>
      </c>
      <c r="D9" s="106">
        <v>1485572.27</v>
      </c>
      <c r="E9" s="108">
        <f t="shared" si="0"/>
        <v>-0.14084654958124965</v>
      </c>
      <c r="F9" s="109">
        <f t="shared" si="0"/>
        <v>9.8026040317240071</v>
      </c>
    </row>
    <row r="10" spans="1:6" ht="15" customHeight="1" x14ac:dyDescent="0.35">
      <c r="A10" s="110" t="s">
        <v>5</v>
      </c>
      <c r="B10" s="111">
        <v>775831.96</v>
      </c>
      <c r="C10" s="112">
        <v>847347.56</v>
      </c>
      <c r="D10" s="111">
        <v>1713905.43</v>
      </c>
      <c r="E10" s="113">
        <f t="shared" si="0"/>
        <v>9.2179239432209181E-2</v>
      </c>
      <c r="F10" s="114">
        <f t="shared" si="0"/>
        <v>1.0226711103056694</v>
      </c>
    </row>
    <row r="11" spans="1:6" s="3" customFormat="1" ht="15" customHeight="1" x14ac:dyDescent="0.35">
      <c r="A11" s="64" t="s">
        <v>62</v>
      </c>
      <c r="B11" s="67">
        <f>SUM(B6:B10)</f>
        <v>33116298.630000003</v>
      </c>
      <c r="C11" s="70">
        <f t="shared" ref="C11:D11" si="1">SUM(C6:C10)</f>
        <v>33928214.019999996</v>
      </c>
      <c r="D11" s="67">
        <f t="shared" si="1"/>
        <v>37810253.57</v>
      </c>
      <c r="E11" s="73">
        <f t="shared" si="0"/>
        <v>2.4517093503453324E-2</v>
      </c>
      <c r="F11" s="38">
        <f t="shared" si="0"/>
        <v>0.11441921309832637</v>
      </c>
    </row>
    <row r="12" spans="1:6" ht="15" customHeight="1" x14ac:dyDescent="0.35">
      <c r="A12" s="115" t="s">
        <v>29</v>
      </c>
      <c r="B12" s="116">
        <v>16631872.24</v>
      </c>
      <c r="C12" s="117">
        <v>17991348.32</v>
      </c>
      <c r="D12" s="116">
        <v>19672783.609999999</v>
      </c>
      <c r="E12" s="118">
        <f t="shared" si="0"/>
        <v>8.173920893466402E-2</v>
      </c>
      <c r="F12" s="119">
        <f t="shared" si="0"/>
        <v>9.3457992146749769E-2</v>
      </c>
    </row>
    <row r="13" spans="1:6" ht="15" customHeight="1" x14ac:dyDescent="0.35">
      <c r="A13" s="105" t="s">
        <v>60</v>
      </c>
      <c r="B13" s="106">
        <v>755938.07</v>
      </c>
      <c r="C13" s="107">
        <v>787359.62</v>
      </c>
      <c r="D13" s="106">
        <v>830743.47</v>
      </c>
      <c r="E13" s="108">
        <f t="shared" si="0"/>
        <v>4.1566301853272147E-2</v>
      </c>
      <c r="F13" s="109">
        <f t="shared" si="0"/>
        <v>5.5100425393926011E-2</v>
      </c>
    </row>
    <row r="14" spans="1:6" ht="15" customHeight="1" x14ac:dyDescent="0.35">
      <c r="A14" s="110" t="s">
        <v>61</v>
      </c>
      <c r="B14" s="111">
        <v>55453.770000000004</v>
      </c>
      <c r="C14" s="112">
        <v>274838.86999999901</v>
      </c>
      <c r="D14" s="111">
        <v>1487272.1100000008</v>
      </c>
      <c r="E14" s="113">
        <f t="shared" si="0"/>
        <v>3.9561800757639922</v>
      </c>
      <c r="F14" s="114">
        <f t="shared" si="0"/>
        <v>4.4114329243167321</v>
      </c>
    </row>
    <row r="15" spans="1:6" s="3" customFormat="1" ht="15" customHeight="1" x14ac:dyDescent="0.35">
      <c r="A15" s="64" t="s">
        <v>63</v>
      </c>
      <c r="B15" s="67">
        <f>SUM(B12:B14)</f>
        <v>17443264.079999998</v>
      </c>
      <c r="C15" s="70">
        <f t="shared" ref="C15:D15" si="2">SUM(C12:C14)</f>
        <v>19053546.809999999</v>
      </c>
      <c r="D15" s="67">
        <f t="shared" si="2"/>
        <v>21990799.189999998</v>
      </c>
      <c r="E15" s="73">
        <f t="shared" si="0"/>
        <v>9.2315447534060402E-2</v>
      </c>
      <c r="F15" s="38">
        <f t="shared" si="0"/>
        <v>0.15415777489041682</v>
      </c>
    </row>
    <row r="16" spans="1:6" s="11" customFormat="1" ht="15" customHeight="1" x14ac:dyDescent="0.35">
      <c r="A16" s="120" t="s">
        <v>74</v>
      </c>
      <c r="B16" s="121">
        <v>6181582.5099999998</v>
      </c>
      <c r="C16" s="122">
        <v>6119596.3200000003</v>
      </c>
      <c r="D16" s="121">
        <v>6467924</v>
      </c>
      <c r="E16" s="123">
        <f t="shared" si="0"/>
        <v>-1.0027560078624487E-2</v>
      </c>
      <c r="F16" s="124">
        <f t="shared" si="0"/>
        <v>5.6920042072317489E-2</v>
      </c>
    </row>
    <row r="17" spans="1:6" s="11" customFormat="1" ht="15" customHeight="1" x14ac:dyDescent="0.35">
      <c r="A17" s="125" t="s">
        <v>71</v>
      </c>
      <c r="B17" s="126">
        <v>178838.09</v>
      </c>
      <c r="C17" s="127">
        <v>385580.91</v>
      </c>
      <c r="D17" s="126">
        <v>846581.57</v>
      </c>
      <c r="E17" s="128">
        <f t="shared" si="0"/>
        <v>1.1560334825763348</v>
      </c>
      <c r="F17" s="129">
        <f t="shared" si="0"/>
        <v>1.1956003216030586</v>
      </c>
    </row>
    <row r="18" spans="1:6" s="11" customFormat="1" ht="15" customHeight="1" x14ac:dyDescent="0.35">
      <c r="A18" s="125" t="s">
        <v>72</v>
      </c>
      <c r="B18" s="126">
        <v>168160.08</v>
      </c>
      <c r="C18" s="127">
        <v>6797.82</v>
      </c>
      <c r="D18" s="126">
        <v>5436.32</v>
      </c>
      <c r="E18" s="128">
        <f t="shared" si="0"/>
        <v>-0.95957530467397489</v>
      </c>
      <c r="F18" s="129">
        <f t="shared" si="0"/>
        <v>-0.20028479718497993</v>
      </c>
    </row>
    <row r="19" spans="1:6" s="11" customFormat="1" ht="15" customHeight="1" x14ac:dyDescent="0.35">
      <c r="A19" s="130" t="s">
        <v>73</v>
      </c>
      <c r="B19" s="131">
        <v>208589.15</v>
      </c>
      <c r="C19" s="132">
        <v>201055.12</v>
      </c>
      <c r="D19" s="131">
        <v>227671.76</v>
      </c>
      <c r="E19" s="133">
        <f t="shared" si="0"/>
        <v>-3.6118992766402291E-2</v>
      </c>
      <c r="F19" s="134">
        <f t="shared" si="0"/>
        <v>0.13238479079766785</v>
      </c>
    </row>
    <row r="20" spans="1:6" ht="15" customHeight="1" x14ac:dyDescent="0.35">
      <c r="A20" s="65" t="s">
        <v>84</v>
      </c>
      <c r="B20" s="68">
        <f>SUM(B16:B19)</f>
        <v>6737169.8300000001</v>
      </c>
      <c r="C20" s="71">
        <f t="shared" ref="C20:D20" si="3">SUM(C16:C19)</f>
        <v>6713030.1700000009</v>
      </c>
      <c r="D20" s="68">
        <f t="shared" si="3"/>
        <v>7547613.6500000004</v>
      </c>
      <c r="E20" s="74">
        <f t="shared" si="0"/>
        <v>-3.5830564775890528E-3</v>
      </c>
      <c r="F20" s="32">
        <f t="shared" si="0"/>
        <v>0.12432291511658722</v>
      </c>
    </row>
    <row r="21" spans="1:6" ht="15" customHeight="1" thickBot="1" x14ac:dyDescent="0.4">
      <c r="A21" s="75" t="s">
        <v>64</v>
      </c>
      <c r="B21" s="76"/>
      <c r="C21" s="77"/>
      <c r="D21" s="76"/>
      <c r="E21" s="78" t="str">
        <f t="shared" si="0"/>
        <v/>
      </c>
      <c r="F21" s="79" t="str">
        <f t="shared" si="0"/>
        <v/>
      </c>
    </row>
    <row r="22" spans="1:6" s="3" customFormat="1" ht="15" customHeight="1" thickBot="1" x14ac:dyDescent="0.4">
      <c r="A22" s="85" t="s">
        <v>27</v>
      </c>
      <c r="B22" s="86">
        <f>B11+B15+B20+B21</f>
        <v>57296732.539999999</v>
      </c>
      <c r="C22" s="87">
        <f>C11+C15+C20+C21</f>
        <v>59694791</v>
      </c>
      <c r="D22" s="86">
        <f>D11+D15+D20+D21</f>
        <v>67348666.409999996</v>
      </c>
      <c r="E22" s="88">
        <f t="shared" si="0"/>
        <v>4.1853319616888651E-2</v>
      </c>
      <c r="F22" s="89">
        <f t="shared" si="0"/>
        <v>0.12821680555008563</v>
      </c>
    </row>
    <row r="23" spans="1:6" ht="15" customHeight="1" thickBot="1" x14ac:dyDescent="0.4">
      <c r="E23" s="5" t="str">
        <f t="shared" si="0"/>
        <v/>
      </c>
      <c r="F23" s="5" t="str">
        <f t="shared" si="0"/>
        <v/>
      </c>
    </row>
    <row r="24" spans="1:6" ht="15" customHeight="1" x14ac:dyDescent="0.35">
      <c r="A24" s="154" t="s">
        <v>39</v>
      </c>
      <c r="B24" s="155">
        <v>15615002.030000001</v>
      </c>
      <c r="C24" s="155">
        <v>15906483.15</v>
      </c>
      <c r="D24" s="155">
        <v>16805753.84</v>
      </c>
      <c r="E24" s="156">
        <f t="shared" si="0"/>
        <v>1.8666735965835679E-2</v>
      </c>
      <c r="F24" s="104">
        <f t="shared" si="0"/>
        <v>5.6534853211723357E-2</v>
      </c>
    </row>
    <row r="25" spans="1:6" ht="15" customHeight="1" x14ac:dyDescent="0.35">
      <c r="A25" s="157" t="s">
        <v>40</v>
      </c>
      <c r="B25" s="158">
        <v>7339522.5500000007</v>
      </c>
      <c r="C25" s="158">
        <v>7389089.8899999997</v>
      </c>
      <c r="D25" s="158">
        <v>7747052.9800000004</v>
      </c>
      <c r="E25" s="159">
        <f t="shared" si="0"/>
        <v>6.7534828951507642E-3</v>
      </c>
      <c r="F25" s="109">
        <f t="shared" si="0"/>
        <v>4.8444814629261534E-2</v>
      </c>
    </row>
    <row r="26" spans="1:6" ht="15" customHeight="1" x14ac:dyDescent="0.35">
      <c r="A26" s="160" t="s">
        <v>41</v>
      </c>
      <c r="B26" s="161">
        <v>525170.15999999992</v>
      </c>
      <c r="C26" s="161">
        <v>506062.26</v>
      </c>
      <c r="D26" s="161">
        <v>478632.93</v>
      </c>
      <c r="E26" s="162">
        <f t="shared" si="0"/>
        <v>-3.6384207358620468E-2</v>
      </c>
      <c r="F26" s="114">
        <f t="shared" si="0"/>
        <v>-5.4201492915120775E-2</v>
      </c>
    </row>
    <row r="27" spans="1:6" ht="15" customHeight="1" x14ac:dyDescent="0.35">
      <c r="A27" s="31" t="s">
        <v>65</v>
      </c>
      <c r="B27" s="23">
        <f>B24+B25+B26</f>
        <v>23479694.740000002</v>
      </c>
      <c r="C27" s="23">
        <f t="shared" ref="C27:D27" si="4">C24+C25+C26</f>
        <v>23801635.300000001</v>
      </c>
      <c r="D27" s="23">
        <f t="shared" si="4"/>
        <v>25031439.75</v>
      </c>
      <c r="E27" s="24">
        <f t="shared" si="0"/>
        <v>1.3711445722143001E-2</v>
      </c>
      <c r="F27" s="32">
        <f t="shared" si="0"/>
        <v>5.1668905707499713E-2</v>
      </c>
    </row>
    <row r="28" spans="1:6" ht="15" customHeight="1" x14ac:dyDescent="0.35">
      <c r="A28" s="33" t="s">
        <v>66</v>
      </c>
      <c r="B28" s="23">
        <v>5326615.26</v>
      </c>
      <c r="C28" s="23">
        <v>5742466.5299999993</v>
      </c>
      <c r="D28" s="23">
        <v>6089795.9500000002</v>
      </c>
      <c r="E28" s="24">
        <f t="shared" si="0"/>
        <v>7.8070453693702691E-2</v>
      </c>
      <c r="F28" s="32">
        <f t="shared" si="0"/>
        <v>6.0484361238410278E-2</v>
      </c>
    </row>
    <row r="29" spans="1:6" s="6" customFormat="1" ht="15" customHeight="1" x14ac:dyDescent="0.35">
      <c r="A29" s="182" t="s">
        <v>26</v>
      </c>
      <c r="B29" s="183">
        <v>4857820.76</v>
      </c>
      <c r="C29" s="183">
        <v>5211266.5599999996</v>
      </c>
      <c r="D29" s="183">
        <v>5563195.8200000003</v>
      </c>
      <c r="E29" s="184">
        <f t="shared" si="0"/>
        <v>7.2758098221804346E-2</v>
      </c>
      <c r="F29" s="185">
        <f t="shared" si="0"/>
        <v>6.7532385063795441E-2</v>
      </c>
    </row>
    <row r="30" spans="1:6" s="163" customFormat="1" ht="15" customHeight="1" x14ac:dyDescent="0.35">
      <c r="A30" s="171" t="s">
        <v>76</v>
      </c>
      <c r="B30" s="172">
        <f>SUM(B31:B36)</f>
        <v>4895107.28</v>
      </c>
      <c r="C30" s="172">
        <f t="shared" ref="C30:D30" si="5">SUM(C31:C36)</f>
        <v>6567615.5</v>
      </c>
      <c r="D30" s="172">
        <f t="shared" si="5"/>
        <v>6629830.1899999995</v>
      </c>
      <c r="E30" s="169">
        <f t="shared" si="0"/>
        <v>0.34166936991011143</v>
      </c>
      <c r="F30" s="170">
        <f t="shared" si="0"/>
        <v>9.472949505037187E-3</v>
      </c>
    </row>
    <row r="31" spans="1:6" s="9" customFormat="1" ht="15" customHeight="1" x14ac:dyDescent="0.35">
      <c r="A31" s="165" t="s">
        <v>21</v>
      </c>
      <c r="B31" s="166">
        <v>1832742.06</v>
      </c>
      <c r="C31" s="166">
        <v>2738896.69</v>
      </c>
      <c r="D31" s="166">
        <v>2527087.11</v>
      </c>
      <c r="E31" s="167">
        <f t="shared" si="0"/>
        <v>0.49442562037344184</v>
      </c>
      <c r="F31" s="168">
        <f t="shared" si="0"/>
        <v>-7.733390630370951E-2</v>
      </c>
    </row>
    <row r="32" spans="1:6" s="9" customFormat="1" ht="15" customHeight="1" x14ac:dyDescent="0.35">
      <c r="A32" s="165" t="s">
        <v>22</v>
      </c>
      <c r="B32" s="166">
        <v>23912.1</v>
      </c>
      <c r="C32" s="166">
        <v>46623.95</v>
      </c>
      <c r="D32" s="166">
        <v>30430.61</v>
      </c>
      <c r="E32" s="167">
        <f t="shared" si="0"/>
        <v>0.94980574688128594</v>
      </c>
      <c r="F32" s="168">
        <f t="shared" si="0"/>
        <v>-0.34731806292688627</v>
      </c>
    </row>
    <row r="33" spans="1:6" s="9" customFormat="1" ht="15" customHeight="1" x14ac:dyDescent="0.35">
      <c r="A33" s="165" t="s">
        <v>23</v>
      </c>
      <c r="B33" s="166">
        <v>669789.11</v>
      </c>
      <c r="C33" s="166">
        <v>859740.22</v>
      </c>
      <c r="D33" s="166">
        <v>982365.75</v>
      </c>
      <c r="E33" s="167">
        <f t="shared" si="0"/>
        <v>0.28359838516932578</v>
      </c>
      <c r="F33" s="168">
        <f t="shared" si="0"/>
        <v>0.14263091006722939</v>
      </c>
    </row>
    <row r="34" spans="1:6" s="9" customFormat="1" ht="15" customHeight="1" x14ac:dyDescent="0.35">
      <c r="A34" s="165" t="s">
        <v>24</v>
      </c>
      <c r="B34" s="166">
        <v>1348944.71</v>
      </c>
      <c r="C34" s="166">
        <v>1660208.21</v>
      </c>
      <c r="D34" s="166">
        <v>1730445.48</v>
      </c>
      <c r="E34" s="167">
        <f t="shared" si="0"/>
        <v>0.23074592879347877</v>
      </c>
      <c r="F34" s="168">
        <f t="shared" si="0"/>
        <v>4.2306302051114519E-2</v>
      </c>
    </row>
    <row r="35" spans="1:6" s="9" customFormat="1" ht="15" customHeight="1" x14ac:dyDescent="0.35">
      <c r="A35" s="165" t="s">
        <v>25</v>
      </c>
      <c r="B35" s="166">
        <v>1019719.3</v>
      </c>
      <c r="C35" s="166">
        <v>1262146.43</v>
      </c>
      <c r="D35" s="166">
        <v>1359501.24</v>
      </c>
      <c r="E35" s="167">
        <f t="shared" si="0"/>
        <v>0.23773908172572566</v>
      </c>
      <c r="F35" s="168">
        <f t="shared" si="0"/>
        <v>7.7134322679183853E-2</v>
      </c>
    </row>
    <row r="36" spans="1:6" s="9" customFormat="1" ht="15" customHeight="1" x14ac:dyDescent="0.35">
      <c r="A36" s="165" t="s">
        <v>32</v>
      </c>
      <c r="B36" s="166"/>
      <c r="C36" s="166"/>
      <c r="D36" s="166"/>
      <c r="E36" s="167" t="str">
        <f t="shared" si="0"/>
        <v/>
      </c>
      <c r="F36" s="168" t="str">
        <f t="shared" si="0"/>
        <v/>
      </c>
    </row>
    <row r="37" spans="1:6" s="10" customFormat="1" ht="15" customHeight="1" x14ac:dyDescent="0.35">
      <c r="A37" s="171" t="s">
        <v>77</v>
      </c>
      <c r="B37" s="172">
        <v>7126832.4900000002</v>
      </c>
      <c r="C37" s="172">
        <v>7164638.3000000007</v>
      </c>
      <c r="D37" s="172">
        <v>7029128.0800000001</v>
      </c>
      <c r="E37" s="169">
        <f t="shared" si="0"/>
        <v>5.3047142686526438E-3</v>
      </c>
      <c r="F37" s="170">
        <f t="shared" si="0"/>
        <v>-1.8913755911446506E-2</v>
      </c>
    </row>
    <row r="38" spans="1:6" s="7" customFormat="1" ht="15" customHeight="1" x14ac:dyDescent="0.35">
      <c r="A38" s="173" t="s">
        <v>70</v>
      </c>
      <c r="B38" s="174">
        <v>6357664.5099999998</v>
      </c>
      <c r="C38" s="174">
        <v>6686011.4500000002</v>
      </c>
      <c r="D38" s="174">
        <v>6496918.0599999996</v>
      </c>
      <c r="E38" s="169">
        <f t="shared" si="0"/>
        <v>5.1645842507660245E-2</v>
      </c>
      <c r="F38" s="170">
        <f t="shared" si="0"/>
        <v>-2.8281942293114204E-2</v>
      </c>
    </row>
    <row r="39" spans="1:6" s="10" customFormat="1" ht="15" customHeight="1" x14ac:dyDescent="0.35">
      <c r="A39" s="171" t="s">
        <v>78</v>
      </c>
      <c r="B39" s="172">
        <v>3217274.6900000004</v>
      </c>
      <c r="C39" s="172">
        <v>3147992.4</v>
      </c>
      <c r="D39" s="172">
        <v>3467923.62</v>
      </c>
      <c r="E39" s="169">
        <f t="shared" si="0"/>
        <v>-2.1534465246422774E-2</v>
      </c>
      <c r="F39" s="170">
        <f t="shared" si="0"/>
        <v>0.1016302390056596</v>
      </c>
    </row>
    <row r="40" spans="1:6" s="10" customFormat="1" ht="15" customHeight="1" x14ac:dyDescent="0.35">
      <c r="A40" s="175" t="s">
        <v>79</v>
      </c>
      <c r="B40" s="176">
        <v>4076615.5999999996</v>
      </c>
      <c r="C40" s="176">
        <v>4685758.7800000012</v>
      </c>
      <c r="D40" s="176">
        <v>5723629.9099999964</v>
      </c>
      <c r="E40" s="177">
        <f t="shared" si="0"/>
        <v>0.14942374748308418</v>
      </c>
      <c r="F40" s="178">
        <f t="shared" si="0"/>
        <v>0.22149478424495306</v>
      </c>
    </row>
    <row r="41" spans="1:6" ht="15" customHeight="1" x14ac:dyDescent="0.35">
      <c r="A41" s="31" t="s">
        <v>75</v>
      </c>
      <c r="B41" s="23">
        <f>+B30+B37+B39+B40</f>
        <v>19315830.060000002</v>
      </c>
      <c r="C41" s="23">
        <f>+C30+C37+C39+C40</f>
        <v>21566004.98</v>
      </c>
      <c r="D41" s="23">
        <f>+D30+D37+D39+D40</f>
        <v>22850511.799999997</v>
      </c>
      <c r="E41" s="24">
        <f t="shared" si="0"/>
        <v>0.11649382465109537</v>
      </c>
      <c r="F41" s="32">
        <f t="shared" si="0"/>
        <v>5.9561649048640586E-2</v>
      </c>
    </row>
    <row r="42" spans="1:6" ht="15" customHeight="1" x14ac:dyDescent="0.35">
      <c r="A42" s="33" t="s">
        <v>67</v>
      </c>
      <c r="B42" s="23">
        <v>1049745.8199999998</v>
      </c>
      <c r="C42" s="23">
        <v>1087399.58</v>
      </c>
      <c r="D42" s="23">
        <v>2057188.4800000004</v>
      </c>
      <c r="E42" s="24">
        <f t="shared" si="0"/>
        <v>3.5869406938910497E-2</v>
      </c>
      <c r="F42" s="32">
        <f t="shared" si="0"/>
        <v>0.891842260965376</v>
      </c>
    </row>
    <row r="43" spans="1:6" ht="15" customHeight="1" x14ac:dyDescent="0.35">
      <c r="A43" s="33" t="s">
        <v>68</v>
      </c>
      <c r="B43" s="23">
        <v>456951</v>
      </c>
      <c r="C43" s="23">
        <v>337169</v>
      </c>
      <c r="D43" s="23">
        <v>539516.59</v>
      </c>
      <c r="E43" s="24">
        <f t="shared" si="0"/>
        <v>-0.26213313900177482</v>
      </c>
      <c r="F43" s="32">
        <f t="shared" si="0"/>
        <v>0.60013699361447803</v>
      </c>
    </row>
    <row r="44" spans="1:6" ht="15" customHeight="1" x14ac:dyDescent="0.35">
      <c r="A44" s="33" t="s">
        <v>69</v>
      </c>
      <c r="B44" s="23">
        <v>270238.12</v>
      </c>
      <c r="C44" s="23">
        <v>290317.59999999998</v>
      </c>
      <c r="D44" s="23">
        <v>314746.59000000003</v>
      </c>
      <c r="E44" s="24">
        <f t="shared" si="0"/>
        <v>7.430291477753026E-2</v>
      </c>
      <c r="F44" s="32">
        <f t="shared" si="0"/>
        <v>8.4145742455848493E-2</v>
      </c>
    </row>
    <row r="45" spans="1:6" ht="15" customHeight="1" x14ac:dyDescent="0.35">
      <c r="A45" s="186" t="s">
        <v>80</v>
      </c>
      <c r="B45" s="187">
        <v>8003613.2999999998</v>
      </c>
      <c r="C45" s="187">
        <v>7991608.0599999996</v>
      </c>
      <c r="D45" s="187">
        <v>8589046.0999999996</v>
      </c>
      <c r="E45" s="188">
        <f t="shared" si="0"/>
        <v>-1.499977516405071E-3</v>
      </c>
      <c r="F45" s="189">
        <f t="shared" si="0"/>
        <v>7.4758175765691881E-2</v>
      </c>
    </row>
    <row r="46" spans="1:6" ht="15" customHeight="1" x14ac:dyDescent="0.35">
      <c r="A46" s="171" t="s">
        <v>81</v>
      </c>
      <c r="B46" s="190">
        <v>248212.09</v>
      </c>
      <c r="C46" s="190">
        <v>811505.57</v>
      </c>
      <c r="D46" s="190">
        <v>608834.56000000006</v>
      </c>
      <c r="E46" s="191">
        <f t="shared" si="0"/>
        <v>2.2694038795612252</v>
      </c>
      <c r="F46" s="192">
        <f t="shared" si="0"/>
        <v>-0.24974691178028496</v>
      </c>
    </row>
    <row r="47" spans="1:6" ht="15" customHeight="1" x14ac:dyDescent="0.35">
      <c r="A47" s="175" t="s">
        <v>82</v>
      </c>
      <c r="B47" s="193">
        <v>6173.92</v>
      </c>
      <c r="C47" s="193">
        <v>128510.02</v>
      </c>
      <c r="D47" s="193">
        <v>70119.490000000005</v>
      </c>
      <c r="E47" s="194">
        <f t="shared" si="0"/>
        <v>19.81497978593827</v>
      </c>
      <c r="F47" s="195">
        <f t="shared" si="0"/>
        <v>-0.45436558176553077</v>
      </c>
    </row>
    <row r="48" spans="1:6" ht="15" customHeight="1" thickBot="1" x14ac:dyDescent="0.4">
      <c r="A48" s="90" t="s">
        <v>83</v>
      </c>
      <c r="B48" s="91">
        <v>8291047.9199999999</v>
      </c>
      <c r="C48" s="91">
        <v>8931623.6500000004</v>
      </c>
      <c r="D48" s="91">
        <v>9268000.1500000004</v>
      </c>
      <c r="E48" s="92">
        <f t="shared" si="0"/>
        <v>7.7261129857273847E-2</v>
      </c>
      <c r="F48" s="79">
        <f t="shared" si="0"/>
        <v>3.766129353199954E-2</v>
      </c>
    </row>
    <row r="49" spans="1:7" s="3" customFormat="1" ht="15" customHeight="1" thickBot="1" x14ac:dyDescent="0.4">
      <c r="A49" s="96" t="s">
        <v>28</v>
      </c>
      <c r="B49" s="97">
        <f>B27+B28+B41+B42+B43+B44+B48</f>
        <v>58190122.920000002</v>
      </c>
      <c r="C49" s="97">
        <f>C27+C28+C41+C42+C43+C44+C48</f>
        <v>61756616.640000001</v>
      </c>
      <c r="D49" s="97">
        <f>D27+D28+D41+D42+D43+D44+D48</f>
        <v>66151199.31000001</v>
      </c>
      <c r="E49" s="98">
        <f t="shared" si="0"/>
        <v>6.1290362367909523E-2</v>
      </c>
      <c r="F49" s="99">
        <f t="shared" si="0"/>
        <v>7.1159705778855997E-2</v>
      </c>
    </row>
    <row r="50" spans="1:7" ht="15" customHeight="1" thickBot="1" x14ac:dyDescent="0.4">
      <c r="A50" s="60"/>
      <c r="B50" s="61"/>
      <c r="C50" s="61"/>
      <c r="D50" s="61"/>
      <c r="E50" s="62" t="str">
        <f t="shared" si="0"/>
        <v/>
      </c>
      <c r="F50" s="62" t="str">
        <f t="shared" si="0"/>
        <v/>
      </c>
    </row>
    <row r="51" spans="1:7" ht="15" customHeight="1" x14ac:dyDescent="0.35">
      <c r="A51" s="57" t="s">
        <v>8</v>
      </c>
      <c r="B51" s="44">
        <f>+B11</f>
        <v>33116298.630000003</v>
      </c>
      <c r="C51" s="58">
        <f>+C11</f>
        <v>33928214.019999996</v>
      </c>
      <c r="D51" s="44">
        <f>+D11</f>
        <v>37810253.57</v>
      </c>
      <c r="E51" s="59">
        <f t="shared" si="0"/>
        <v>2.4517093503453324E-2</v>
      </c>
      <c r="F51" s="28">
        <f t="shared" si="0"/>
        <v>0.11441921309832637</v>
      </c>
    </row>
    <row r="52" spans="1:7" ht="15" customHeight="1" x14ac:dyDescent="0.35">
      <c r="A52" s="40" t="s">
        <v>9</v>
      </c>
      <c r="B52" s="45">
        <f>+B28</f>
        <v>5326615.26</v>
      </c>
      <c r="C52" s="49">
        <f>+C28</f>
        <v>5742466.5299999993</v>
      </c>
      <c r="D52" s="45">
        <f>+D28</f>
        <v>6089795.9500000002</v>
      </c>
      <c r="E52" s="53">
        <f t="shared" si="0"/>
        <v>7.8070453693702691E-2</v>
      </c>
      <c r="F52" s="30">
        <f t="shared" si="0"/>
        <v>6.0484361238410278E-2</v>
      </c>
    </row>
    <row r="53" spans="1:7" ht="15" customHeight="1" x14ac:dyDescent="0.35">
      <c r="A53" s="40" t="s">
        <v>10</v>
      </c>
      <c r="B53" s="45">
        <f>+B41</f>
        <v>19315830.060000002</v>
      </c>
      <c r="C53" s="49">
        <f>+C41</f>
        <v>21566004.98</v>
      </c>
      <c r="D53" s="45">
        <f>+D41</f>
        <v>22850511.799999997</v>
      </c>
      <c r="E53" s="53">
        <f t="shared" si="0"/>
        <v>0.11649382465109537</v>
      </c>
      <c r="F53" s="30">
        <f t="shared" si="0"/>
        <v>5.9561649048640586E-2</v>
      </c>
    </row>
    <row r="54" spans="1:7" s="3" customFormat="1" ht="15" customHeight="1" x14ac:dyDescent="0.35">
      <c r="A54" s="41" t="s">
        <v>11</v>
      </c>
      <c r="B54" s="46">
        <f>B51-B52-B53</f>
        <v>8473853.3100000024</v>
      </c>
      <c r="C54" s="50">
        <f t="shared" ref="C54:D54" si="6">C51-C52-C53</f>
        <v>6619742.5099999942</v>
      </c>
      <c r="D54" s="46">
        <f t="shared" si="6"/>
        <v>8869945.820000004</v>
      </c>
      <c r="E54" s="54">
        <f t="shared" si="0"/>
        <v>-0.21880374042019002</v>
      </c>
      <c r="F54" s="34">
        <f t="shared" si="0"/>
        <v>0.33992308712926245</v>
      </c>
      <c r="G54" s="4"/>
    </row>
    <row r="55" spans="1:7" ht="15" customHeight="1" x14ac:dyDescent="0.35">
      <c r="A55" s="40" t="s">
        <v>12</v>
      </c>
      <c r="B55" s="45">
        <f>B15</f>
        <v>17443264.079999998</v>
      </c>
      <c r="C55" s="49">
        <f>C15</f>
        <v>19053546.809999999</v>
      </c>
      <c r="D55" s="45">
        <f>D15</f>
        <v>21990799.189999998</v>
      </c>
      <c r="E55" s="53">
        <f t="shared" si="0"/>
        <v>9.2315447534060402E-2</v>
      </c>
      <c r="F55" s="30">
        <f t="shared" si="0"/>
        <v>0.15415777489041682</v>
      </c>
    </row>
    <row r="56" spans="1:7" ht="15" customHeight="1" x14ac:dyDescent="0.35">
      <c r="A56" s="40" t="s">
        <v>13</v>
      </c>
      <c r="B56" s="45">
        <f>B27</f>
        <v>23479694.740000002</v>
      </c>
      <c r="C56" s="49">
        <f>C27</f>
        <v>23801635.300000001</v>
      </c>
      <c r="D56" s="45">
        <f>D27</f>
        <v>25031439.75</v>
      </c>
      <c r="E56" s="53">
        <f t="shared" si="0"/>
        <v>1.3711445722143001E-2</v>
      </c>
      <c r="F56" s="30">
        <f t="shared" si="0"/>
        <v>5.1668905707499713E-2</v>
      </c>
    </row>
    <row r="57" spans="1:7" ht="15" customHeight="1" x14ac:dyDescent="0.35">
      <c r="A57" s="40" t="s">
        <v>14</v>
      </c>
      <c r="B57" s="45">
        <f>B42+B43</f>
        <v>1506696.8199999998</v>
      </c>
      <c r="C57" s="49">
        <f t="shared" ref="C57:D57" si="7">C42+C43</f>
        <v>1424568.58</v>
      </c>
      <c r="D57" s="45">
        <f t="shared" si="7"/>
        <v>2596705.0700000003</v>
      </c>
      <c r="E57" s="53">
        <f t="shared" si="0"/>
        <v>-5.4508802905683273E-2</v>
      </c>
      <c r="F57" s="30">
        <f t="shared" si="0"/>
        <v>0.82280102653955778</v>
      </c>
    </row>
    <row r="58" spans="1:7" s="3" customFormat="1" ht="15" customHeight="1" x14ac:dyDescent="0.35">
      <c r="A58" s="42" t="s">
        <v>15</v>
      </c>
      <c r="B58" s="47">
        <f>+B54+B55-B56-B57</f>
        <v>930725.82999999868</v>
      </c>
      <c r="C58" s="51">
        <f>+C54+C55-C56-C57</f>
        <v>447085.43999999203</v>
      </c>
      <c r="D58" s="47">
        <f t="shared" ref="D58" si="8">+D54+D55-D56-D57</f>
        <v>3232600.1900000013</v>
      </c>
      <c r="E58" s="55">
        <f t="shared" si="0"/>
        <v>-0.51963787230446512</v>
      </c>
      <c r="F58" s="35">
        <f t="shared" si="0"/>
        <v>6.2303857401396456</v>
      </c>
      <c r="G58" s="4"/>
    </row>
    <row r="59" spans="1:7" ht="15" customHeight="1" x14ac:dyDescent="0.35">
      <c r="A59" s="40" t="s">
        <v>16</v>
      </c>
      <c r="B59" s="45">
        <f t="shared" ref="B59:D60" si="9">B20</f>
        <v>6737169.8300000001</v>
      </c>
      <c r="C59" s="49">
        <f t="shared" si="9"/>
        <v>6713030.1700000009</v>
      </c>
      <c r="D59" s="45">
        <f t="shared" si="9"/>
        <v>7547613.6500000004</v>
      </c>
      <c r="E59" s="53">
        <f t="shared" si="0"/>
        <v>-3.5830564775890528E-3</v>
      </c>
      <c r="F59" s="30">
        <f t="shared" si="0"/>
        <v>0.12432291511658722</v>
      </c>
    </row>
    <row r="60" spans="1:7" ht="15" customHeight="1" x14ac:dyDescent="0.35">
      <c r="A60" s="40" t="s">
        <v>17</v>
      </c>
      <c r="B60" s="45">
        <f t="shared" si="9"/>
        <v>0</v>
      </c>
      <c r="C60" s="49">
        <f t="shared" si="9"/>
        <v>0</v>
      </c>
      <c r="D60" s="45">
        <f t="shared" si="9"/>
        <v>0</v>
      </c>
      <c r="E60" s="53" t="e">
        <f t="shared" si="0"/>
        <v>#DIV/0!</v>
      </c>
      <c r="F60" s="30" t="e">
        <f t="shared" si="0"/>
        <v>#DIV/0!</v>
      </c>
    </row>
    <row r="61" spans="1:7" ht="15" customHeight="1" x14ac:dyDescent="0.35">
      <c r="A61" s="40" t="s">
        <v>18</v>
      </c>
      <c r="B61" s="45">
        <f>B48</f>
        <v>8291047.9199999999</v>
      </c>
      <c r="C61" s="49">
        <f t="shared" ref="C61:D61" si="10">C48</f>
        <v>8931623.6500000004</v>
      </c>
      <c r="D61" s="45">
        <f t="shared" si="10"/>
        <v>9268000.1500000004</v>
      </c>
      <c r="E61" s="53">
        <f t="shared" si="0"/>
        <v>7.7261129857273847E-2</v>
      </c>
      <c r="F61" s="30">
        <f t="shared" si="0"/>
        <v>3.766129353199954E-2</v>
      </c>
    </row>
    <row r="62" spans="1:7" ht="15" customHeight="1" x14ac:dyDescent="0.35">
      <c r="A62" s="40" t="s">
        <v>19</v>
      </c>
      <c r="B62" s="45">
        <f>B44</f>
        <v>270238.12</v>
      </c>
      <c r="C62" s="49">
        <f t="shared" ref="C62:D62" si="11">C44</f>
        <v>290317.59999999998</v>
      </c>
      <c r="D62" s="45">
        <f t="shared" si="11"/>
        <v>314746.59000000003</v>
      </c>
      <c r="E62" s="53">
        <f t="shared" si="0"/>
        <v>7.430291477753026E-2</v>
      </c>
      <c r="F62" s="30">
        <f t="shared" si="0"/>
        <v>8.4145742455848493E-2</v>
      </c>
    </row>
    <row r="63" spans="1:7" s="3" customFormat="1" ht="15" customHeight="1" thickBot="1" x14ac:dyDescent="0.4">
      <c r="A63" s="43" t="s">
        <v>20</v>
      </c>
      <c r="B63" s="48">
        <f>B58+B59+B60-B61-B62</f>
        <v>-893390.38000000163</v>
      </c>
      <c r="C63" s="52">
        <f t="shared" ref="C63:D63" si="12">C58+C59+C60-C61-C62</f>
        <v>-2061825.6400000076</v>
      </c>
      <c r="D63" s="48">
        <f t="shared" si="12"/>
        <v>1197467.1000000013</v>
      </c>
      <c r="E63" s="56">
        <f t="shared" si="0"/>
        <v>1.3078663999046012</v>
      </c>
      <c r="F63" s="36">
        <f t="shared" si="0"/>
        <v>-1.5807800023284204</v>
      </c>
      <c r="G63" s="4"/>
    </row>
    <row r="64" spans="1:7" ht="15" customHeight="1" thickBot="1" x14ac:dyDescent="0.4"/>
    <row r="65" spans="1:6" ht="15" customHeight="1" x14ac:dyDescent="0.35">
      <c r="A65" s="25" t="str">
        <f>A45</f>
        <v>Dotations aux amortissements (6811)</v>
      </c>
      <c r="B65" s="26">
        <f>B45</f>
        <v>8003613.2999999998</v>
      </c>
      <c r="C65" s="26">
        <f t="shared" ref="C65:D65" si="13">C45</f>
        <v>7991608.0599999996</v>
      </c>
      <c r="D65" s="26">
        <f t="shared" si="13"/>
        <v>8589046.0999999996</v>
      </c>
      <c r="E65" s="27">
        <f t="shared" ref="E65:E66" si="14">+IF(ISBLANK(B65),"",+C65/B65-1)</f>
        <v>-1.499977516405071E-3</v>
      </c>
      <c r="F65" s="28">
        <f t="shared" ref="F65:F66" si="15">+IF(ISBLANK(C65),"",+D65/C65-1)</f>
        <v>7.4758175765691881E-2</v>
      </c>
    </row>
    <row r="66" spans="1:6" ht="15" customHeight="1" x14ac:dyDescent="0.35">
      <c r="A66" s="29" t="str">
        <f>A16</f>
        <v>Quote-part reprise au résultats des fin. Actifs (7811 et 7813)</v>
      </c>
      <c r="B66" s="19">
        <f t="shared" ref="B66:D66" si="16">B16</f>
        <v>6181582.5099999998</v>
      </c>
      <c r="C66" s="19">
        <f t="shared" si="16"/>
        <v>6119596.3200000003</v>
      </c>
      <c r="D66" s="19">
        <f t="shared" si="16"/>
        <v>6467924</v>
      </c>
      <c r="E66" s="20">
        <f t="shared" si="14"/>
        <v>-1.0027560078624487E-2</v>
      </c>
      <c r="F66" s="30">
        <f t="shared" si="15"/>
        <v>5.6920042072317489E-2</v>
      </c>
    </row>
    <row r="67" spans="1:6" ht="15" customHeight="1" thickBot="1" x14ac:dyDescent="0.4">
      <c r="A67" s="207" t="s">
        <v>85</v>
      </c>
      <c r="B67" s="208">
        <f>B65-B66</f>
        <v>1822030.79</v>
      </c>
      <c r="C67" s="208">
        <f t="shared" ref="C67:D67" si="17">C65-C66</f>
        <v>1872011.7399999993</v>
      </c>
      <c r="D67" s="208">
        <f t="shared" si="17"/>
        <v>2121122.0999999996</v>
      </c>
      <c r="E67" s="209">
        <f>+IF(ISBLANK(B67),"",+C67/B67-1)</f>
        <v>2.7431451913059846E-2</v>
      </c>
      <c r="F67" s="210">
        <f>+IF(ISBLANK(C67),"",+D67/C67-1)</f>
        <v>0.1330709389675091</v>
      </c>
    </row>
    <row r="70" spans="1:6" ht="15" customHeight="1" x14ac:dyDescent="0.35">
      <c r="C70" s="12"/>
      <c r="D70" s="12"/>
    </row>
    <row r="71" spans="1:6" ht="15" customHeight="1" x14ac:dyDescent="0.35">
      <c r="C71" s="12"/>
      <c r="D71" s="12"/>
    </row>
    <row r="72" spans="1:6" ht="15" customHeight="1" x14ac:dyDescent="0.35">
      <c r="C72" s="12"/>
      <c r="D72" s="12"/>
    </row>
  </sheetData>
  <mergeCells count="1">
    <mergeCell ref="A1:F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26</vt:i4>
      </vt:variant>
    </vt:vector>
  </HeadingPairs>
  <TitlesOfParts>
    <vt:vector size="26" baseType="lpstr">
      <vt:lpstr>AIX</vt:lpstr>
      <vt:lpstr>AMIENS</vt:lpstr>
      <vt:lpstr>ANTILLES</vt:lpstr>
      <vt:lpstr>BFC</vt:lpstr>
      <vt:lpstr>BORDEAUX</vt:lpstr>
      <vt:lpstr>CLERMONT</vt:lpstr>
      <vt:lpstr>CORSE</vt:lpstr>
      <vt:lpstr>CRETEIL</vt:lpstr>
      <vt:lpstr>GRENOBLE</vt:lpstr>
      <vt:lpstr>LA REUNION</vt:lpstr>
      <vt:lpstr>LILLE</vt:lpstr>
      <vt:lpstr>LIMOGES</vt:lpstr>
      <vt:lpstr>LORRAINE</vt:lpstr>
      <vt:lpstr>LYON</vt:lpstr>
      <vt:lpstr>MONTPELLIER</vt:lpstr>
      <vt:lpstr>NANTES</vt:lpstr>
      <vt:lpstr>NICE</vt:lpstr>
      <vt:lpstr>NORMANDIE</vt:lpstr>
      <vt:lpstr>ORLEANS</vt:lpstr>
      <vt:lpstr>PARIS</vt:lpstr>
      <vt:lpstr>POITIERS</vt:lpstr>
      <vt:lpstr>REIMS</vt:lpstr>
      <vt:lpstr>RENNES</vt:lpstr>
      <vt:lpstr>STRASBOURG</vt:lpstr>
      <vt:lpstr>TOULOUSE</vt:lpstr>
      <vt:lpstr>VERSAILLES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Francine LIU</dc:creator>
  <cp:lastModifiedBy>Corinne VADE</cp:lastModifiedBy>
  <cp:lastPrinted>2025-04-30T15:55:35Z</cp:lastPrinted>
  <dcterms:created xsi:type="dcterms:W3CDTF">2025-04-28T17:39:17Z</dcterms:created>
  <dcterms:modified xsi:type="dcterms:W3CDTF">2025-05-14T15:33:37Z</dcterms:modified>
</cp:coreProperties>
</file>