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ingeropgroup-my.sharepoint.com/personal/joel_issenbeck_ingerop_com/Documents/Affaires/EE262312 - CHRU Besançon/Anapath/_Travail en cours/pièces écrites/"/>
    </mc:Choice>
  </mc:AlternateContent>
  <xr:revisionPtr revIDLastSave="1244" documentId="8_{3ABE8B86-1A8F-4688-83EB-7B652677EFAF}" xr6:coauthVersionLast="47" xr6:coauthVersionMax="47" xr10:uidLastSave="{A3F834D1-F653-4CDD-9C52-7A99D22F457A}"/>
  <bookViews>
    <workbookView xWindow="28680" yWindow="-120" windowWidth="29040" windowHeight="15840" xr2:uid="{14D6DC43-73BF-4E0F-AE89-1E104322EA3C}"/>
  </bookViews>
  <sheets>
    <sheet name="Bilan aéraulique" sheetId="1" r:id="rId1"/>
    <sheet name="Bilan aéraulique phase 1" sheetId="4" r:id="rId2"/>
    <sheet name="CTA-EXT" sheetId="5" r:id="rId3"/>
    <sheet name="Bilan Plomberie" sheetId="3" r:id="rId4"/>
  </sheets>
  <definedNames>
    <definedName name="_xlnm._FilterDatabase" localSheetId="0" hidden="1">'Bilan aéraulique'!$B$3:$FS$43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18" i="1" l="1"/>
  <c r="C44" i="5"/>
  <c r="C43" i="5"/>
  <c r="AB15" i="1"/>
  <c r="C42" i="5" s="1"/>
  <c r="AB14" i="1"/>
  <c r="T6" i="4"/>
  <c r="T8" i="4"/>
  <c r="FD5" i="1"/>
  <c r="AB5" i="1" s="1"/>
  <c r="EZ7" i="1"/>
  <c r="EW7" i="1"/>
  <c r="AB7" i="1" s="1"/>
  <c r="X7" i="1" s="1"/>
  <c r="CX13" i="1"/>
  <c r="CX10" i="1"/>
  <c r="AB10" i="1" s="1"/>
  <c r="X10" i="1" s="1"/>
  <c r="CX9" i="1"/>
  <c r="H24" i="4"/>
  <c r="F14" i="4"/>
  <c r="O13" i="4"/>
  <c r="M13" i="4"/>
  <c r="P6" i="4"/>
  <c r="H6" i="4"/>
  <c r="M6" i="4"/>
  <c r="P8" i="4"/>
  <c r="H8" i="4"/>
  <c r="M8" i="4"/>
  <c r="M26" i="4"/>
  <c r="C4" i="5"/>
  <c r="H5" i="1"/>
  <c r="H6" i="1"/>
  <c r="X6" i="1" s="1"/>
  <c r="H7" i="1"/>
  <c r="H8" i="1"/>
  <c r="X8" i="1" s="1"/>
  <c r="AB9" i="1"/>
  <c r="X9" i="1" s="1"/>
  <c r="H9" i="1"/>
  <c r="H10" i="1"/>
  <c r="H11" i="1"/>
  <c r="X11" i="1" s="1"/>
  <c r="H12" i="1"/>
  <c r="X12" i="1"/>
  <c r="AB13" i="1"/>
  <c r="X13" i="1" s="1"/>
  <c r="H13" i="1"/>
  <c r="H14" i="1"/>
  <c r="H15" i="1"/>
  <c r="AB16" i="1"/>
  <c r="X16" i="1" s="1"/>
  <c r="H16" i="1"/>
  <c r="H17" i="1"/>
  <c r="X17" i="1" s="1"/>
  <c r="H19" i="1"/>
  <c r="X19" i="1" s="1"/>
  <c r="H20" i="1"/>
  <c r="AB20" i="1" s="1"/>
  <c r="H21" i="1"/>
  <c r="X21" i="1"/>
  <c r="Y23" i="1"/>
  <c r="X23" i="1" s="1"/>
  <c r="H24" i="1"/>
  <c r="X24" i="1"/>
  <c r="Y24" i="1" s="1"/>
  <c r="H25" i="1"/>
  <c r="X25" i="1" s="1"/>
  <c r="Y25" i="1" s="1"/>
  <c r="H26" i="1"/>
  <c r="X26" i="1" s="1"/>
  <c r="Y26" i="1" s="1"/>
  <c r="H32" i="1"/>
  <c r="X32" i="1" s="1"/>
  <c r="H33" i="1"/>
  <c r="X33" i="1" s="1"/>
  <c r="H34" i="1"/>
  <c r="X34" i="1"/>
  <c r="Z34" i="1" s="1"/>
  <c r="H35" i="1"/>
  <c r="X35" i="1"/>
  <c r="H36" i="1"/>
  <c r="X36" i="1" s="1"/>
  <c r="H37" i="1"/>
  <c r="X37" i="1" s="1"/>
  <c r="H22" i="4"/>
  <c r="H21" i="4"/>
  <c r="H20" i="4"/>
  <c r="H19" i="4"/>
  <c r="H18" i="4"/>
  <c r="H17" i="4"/>
  <c r="AB32" i="1"/>
  <c r="AC32" i="1"/>
  <c r="AB37" i="1"/>
  <c r="AC37" i="1"/>
  <c r="AC10" i="1"/>
  <c r="O26" i="4"/>
  <c r="C13" i="5"/>
  <c r="Q7" i="4"/>
  <c r="Q8" i="4"/>
  <c r="N8" i="4"/>
  <c r="Q6" i="4"/>
  <c r="P7" i="4"/>
  <c r="H25" i="4"/>
  <c r="H23" i="4"/>
  <c r="H10" i="4"/>
  <c r="H11" i="4"/>
  <c r="H12" i="4"/>
  <c r="H13" i="4"/>
  <c r="H14" i="4"/>
  <c r="H15" i="4"/>
  <c r="H16" i="4"/>
  <c r="H9" i="4"/>
  <c r="H7" i="4"/>
  <c r="H5" i="4"/>
  <c r="AC15" i="1"/>
  <c r="Y15" i="1" s="1"/>
  <c r="AC9" i="1"/>
  <c r="Y9" i="1" s="1"/>
  <c r="AC13" i="1"/>
  <c r="Y13" i="1" s="1"/>
  <c r="AC16" i="1"/>
  <c r="AC14" i="1"/>
  <c r="Y14" i="1" s="1"/>
  <c r="AC7" i="1"/>
  <c r="Y7" i="1" s="1"/>
  <c r="AC5" i="1"/>
  <c r="Y5" i="1" s="1"/>
  <c r="N6" i="4"/>
  <c r="N26" i="4"/>
  <c r="Q26" i="4"/>
  <c r="P26" i="4"/>
  <c r="BX14" i="1"/>
  <c r="C21" i="5"/>
  <c r="AB6" i="1"/>
  <c r="AB8" i="1"/>
  <c r="AB11" i="1"/>
  <c r="AB12" i="1"/>
  <c r="AB17" i="1"/>
  <c r="T5" i="1"/>
  <c r="T7" i="1"/>
  <c r="T9" i="1"/>
  <c r="T13" i="1"/>
  <c r="T16" i="1"/>
  <c r="AC36" i="1"/>
  <c r="AC35" i="1"/>
  <c r="AC34" i="1"/>
  <c r="AC33" i="1"/>
  <c r="AC31" i="1"/>
  <c r="AC30" i="1"/>
  <c r="AB36" i="1"/>
  <c r="AB35" i="1"/>
  <c r="Y31" i="1"/>
  <c r="Y30" i="1"/>
  <c r="Y29" i="1"/>
  <c r="Y28" i="1"/>
  <c r="Y27" i="1"/>
  <c r="Y22" i="1"/>
  <c r="O23" i="1"/>
  <c r="T37" i="1"/>
  <c r="T36" i="1"/>
  <c r="T31" i="1"/>
  <c r="U31" i="1" s="1"/>
  <c r="T29" i="1"/>
  <c r="U29" i="1" s="1"/>
  <c r="T27" i="1"/>
  <c r="T25" i="1"/>
  <c r="T23" i="1"/>
  <c r="T21" i="1"/>
  <c r="T30" i="1"/>
  <c r="T28" i="1"/>
  <c r="T26" i="1"/>
  <c r="T24" i="1"/>
  <c r="T22" i="1"/>
  <c r="U22" i="1" s="1"/>
  <c r="T12" i="1"/>
  <c r="U12" i="1" s="1"/>
  <c r="T8" i="1"/>
  <c r="U8" i="1" s="1"/>
  <c r="T6" i="1"/>
  <c r="T17" i="1"/>
  <c r="U17" i="1" s="1"/>
  <c r="T18" i="1"/>
  <c r="T19" i="1"/>
  <c r="U19" i="1" s="1"/>
  <c r="T35" i="1"/>
  <c r="R37" i="1"/>
  <c r="U37" i="1" s="1"/>
  <c r="R35" i="1"/>
  <c r="U35" i="1" s="1"/>
  <c r="R36" i="1"/>
  <c r="U36" i="1" s="1"/>
  <c r="R34" i="1"/>
  <c r="R32" i="1"/>
  <c r="U32" i="1" s="1"/>
  <c r="R20" i="1"/>
  <c r="U20" i="1" s="1"/>
  <c r="R16" i="1"/>
  <c r="U16" i="1" s="1"/>
  <c r="R15" i="1"/>
  <c r="U15" i="1" s="1"/>
  <c r="R14" i="1"/>
  <c r="R13" i="1"/>
  <c r="R11" i="1"/>
  <c r="R10" i="1"/>
  <c r="R9" i="1"/>
  <c r="R7" i="1"/>
  <c r="R5" i="1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O37" i="1"/>
  <c r="O36" i="1"/>
  <c r="O35" i="1"/>
  <c r="O34" i="1"/>
  <c r="O32" i="1"/>
  <c r="O22" i="1"/>
  <c r="O21" i="1"/>
  <c r="O20" i="1"/>
  <c r="O16" i="1"/>
  <c r="O15" i="1"/>
  <c r="O12" i="1"/>
  <c r="O11" i="1"/>
  <c r="O9" i="1"/>
  <c r="O8" i="1"/>
  <c r="O7" i="1"/>
  <c r="O6" i="1"/>
  <c r="O5" i="1"/>
  <c r="O38" i="1" s="1"/>
  <c r="O10" i="1"/>
  <c r="O13" i="1"/>
  <c r="O14" i="1"/>
  <c r="BV14" i="1"/>
  <c r="T14" i="1" s="1"/>
  <c r="BD15" i="1"/>
  <c r="BF15" i="1"/>
  <c r="T20" i="1"/>
  <c r="T32" i="1"/>
  <c r="T34" i="1"/>
  <c r="T11" i="1"/>
  <c r="T10" i="1"/>
  <c r="U10" i="1" s="1"/>
  <c r="T15" i="1"/>
  <c r="U33" i="1"/>
  <c r="U30" i="1"/>
  <c r="U28" i="1"/>
  <c r="U27" i="1"/>
  <c r="U26" i="1"/>
  <c r="U25" i="1"/>
  <c r="U24" i="1"/>
  <c r="U23" i="1"/>
  <c r="U21" i="1"/>
  <c r="U18" i="1"/>
  <c r="U6" i="1"/>
  <c r="S36" i="1"/>
  <c r="S35" i="1"/>
  <c r="S34" i="1"/>
  <c r="S16" i="1"/>
  <c r="S15" i="1"/>
  <c r="S14" i="1"/>
  <c r="S13" i="1"/>
  <c r="S11" i="1"/>
  <c r="S10" i="1"/>
  <c r="S9" i="1"/>
  <c r="S7" i="1"/>
  <c r="U7" i="1" s="1"/>
  <c r="S5" i="1"/>
  <c r="AB27" i="1"/>
  <c r="AB26" i="1"/>
  <c r="AB25" i="1"/>
  <c r="AB24" i="1"/>
  <c r="H27" i="1"/>
  <c r="H29" i="1"/>
  <c r="AB19" i="1"/>
  <c r="AB21" i="1"/>
  <c r="AB22" i="1"/>
  <c r="AB23" i="1"/>
  <c r="AB28" i="1"/>
  <c r="AB29" i="1"/>
  <c r="AB30" i="1"/>
  <c r="AB31" i="1"/>
  <c r="AB33" i="1"/>
  <c r="AB34" i="1"/>
  <c r="H18" i="1"/>
  <c r="H22" i="1"/>
  <c r="H23" i="1"/>
  <c r="H28" i="1"/>
  <c r="H30" i="1"/>
  <c r="H31" i="1"/>
  <c r="Y10" i="1"/>
  <c r="AC20" i="1"/>
  <c r="Y20" i="1" s="1"/>
  <c r="Y16" i="1"/>
  <c r="U5" i="1"/>
  <c r="U13" i="1"/>
  <c r="U9" i="1"/>
  <c r="U34" i="1"/>
  <c r="U11" i="1"/>
  <c r="Z35" i="1"/>
  <c r="Y35" i="1"/>
  <c r="Z21" i="1"/>
  <c r="Y21" i="1"/>
  <c r="Z12" i="1"/>
  <c r="Y12" i="1"/>
  <c r="C40" i="5" l="1"/>
  <c r="C41" i="5"/>
  <c r="X15" i="1"/>
  <c r="C36" i="5"/>
  <c r="C38" i="5"/>
  <c r="C39" i="5" s="1"/>
  <c r="X14" i="1"/>
  <c r="Y6" i="1"/>
  <c r="Z6" i="1"/>
  <c r="U14" i="1"/>
  <c r="Y37" i="1"/>
  <c r="Z37" i="1"/>
  <c r="Z8" i="1"/>
  <c r="Y8" i="1"/>
  <c r="Y38" i="1" s="1"/>
  <c r="Z36" i="1"/>
  <c r="Y36" i="1"/>
  <c r="U38" i="1"/>
  <c r="C28" i="5"/>
  <c r="X20" i="1"/>
  <c r="Z19" i="1"/>
  <c r="Y19" i="1"/>
  <c r="Z11" i="1"/>
  <c r="Y11" i="1"/>
  <c r="Y17" i="1"/>
  <c r="Z17" i="1"/>
  <c r="X5" i="1"/>
  <c r="C35" i="5" s="1"/>
  <c r="AB38" i="1"/>
  <c r="C20" i="5" s="1"/>
  <c r="C29" i="5" s="1"/>
  <c r="Z33" i="1"/>
  <c r="Y33" i="1"/>
  <c r="Z32" i="1"/>
  <c r="Y32" i="1"/>
  <c r="AC38" i="1"/>
  <c r="Y34" i="1"/>
  <c r="X38" i="1" l="1"/>
  <c r="C3" i="5" s="1"/>
  <c r="C8" i="5" s="1"/>
  <c r="C7" i="5" s="1"/>
  <c r="Z38" i="1"/>
  <c r="C12" i="5" s="1"/>
  <c r="C16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tc={BFFFB249-DE1A-4C07-BDD2-D6EFCB601149}</author>
    <author>tc={7A63C2AC-C3C3-45B2-8956-C0F468469FCB}</author>
    <author>tc={9A421E0C-EF7E-4434-A8EF-BF5A78F7AD63}</author>
  </authors>
  <commentList>
    <comment ref="Z20" authorId="0" shapeId="0" xr:uid="{BFFFB249-DE1A-4C07-BDD2-D6EFCB601149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Débit d’extraction max en cas d’anoxie : 20vol/h
Débit d’extraction normal : 6vol/h</t>
      </text>
    </comment>
    <comment ref="AB20" authorId="1" shapeId="0" xr:uid="{7A63C2AC-C3C3-45B2-8956-C0F468469FCB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Débit d’extraction max en cas d’anoxie : 20vol/h
Débit d’extraction normal : 6vol/h</t>
      </text>
    </comment>
    <comment ref="AC20" authorId="2" shapeId="0" xr:uid="{9A421E0C-EF7E-4434-A8EF-BF5A78F7AD63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Débit d’extraction max en cas d’anoxie : 20vol/h
Débit d’extraction normal : 6vol/h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tc={0C134019-C76D-431F-AC0E-772225D998DC}</author>
    <author>tc={A32BD47A-46D4-4E0D-A24E-9D694ADC4588}</author>
    <author>tc={97525373-0006-43B0-91DA-5CC71202AD20}</author>
    <author>tc={C38B3038-4301-4EB9-8E7E-6DF437B2E938}</author>
  </authors>
  <commentList>
    <comment ref="N6" authorId="0" shapeId="0" xr:uid="{0C134019-C76D-431F-AC0E-772225D998DC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Ajout de BDV sur le soufflage</t>
      </text>
    </comment>
    <comment ref="O6" authorId="1" shapeId="0" xr:uid="{A32BD47A-46D4-4E0D-A24E-9D694ADC4588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Suppression de la reprise</t>
      </text>
    </comment>
    <comment ref="N8" authorId="2" shapeId="0" xr:uid="{97525373-0006-43B0-91DA-5CC71202AD20}">
      <text>
        <t xml:space="preserve"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Ajout de BDV sur le soufflage
</t>
      </text>
    </comment>
    <comment ref="O8" authorId="3" shapeId="0" xr:uid="{C38B3038-4301-4EB9-8E7E-6DF437B2E938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Suppression de la reprise</t>
      </text>
    </comment>
  </commentList>
</comments>
</file>

<file path=xl/sharedStrings.xml><?xml version="1.0" encoding="utf-8"?>
<sst xmlns="http://schemas.openxmlformats.org/spreadsheetml/2006/main" count="1136" uniqueCount="277">
  <si>
    <t>Caractéristiques des locaux</t>
  </si>
  <si>
    <t>Bilan chauffage et climatisation</t>
  </si>
  <si>
    <t>Récapitulatif débits</t>
  </si>
  <si>
    <t>EQUIPEMENTS SPECIALISES</t>
  </si>
  <si>
    <t>Numéro local</t>
  </si>
  <si>
    <t>Nom local</t>
  </si>
  <si>
    <t>Zone</t>
  </si>
  <si>
    <t>Niveau</t>
  </si>
  <si>
    <t>Surface local</t>
  </si>
  <si>
    <t>HSP retenue</t>
  </si>
  <si>
    <t>Volume retenu</t>
  </si>
  <si>
    <t>Nb occupants retenu</t>
  </si>
  <si>
    <t>Pression du local</t>
  </si>
  <si>
    <t>Climatisation</t>
  </si>
  <si>
    <t>Type ventil retenu</t>
  </si>
  <si>
    <t>Terminal hiver</t>
  </si>
  <si>
    <t>Température de chauffage</t>
  </si>
  <si>
    <t>Puissance CH</t>
  </si>
  <si>
    <t>Terminal été</t>
  </si>
  <si>
    <t>Température de climatisation</t>
  </si>
  <si>
    <t>Apports éclairage</t>
  </si>
  <si>
    <t>Apports personnel</t>
  </si>
  <si>
    <t>Apports internes</t>
  </si>
  <si>
    <t>Puissance FR</t>
  </si>
  <si>
    <t>CTA</t>
  </si>
  <si>
    <t>Reprise d'ambiance</t>
  </si>
  <si>
    <t>Débit d'air neuf max</t>
  </si>
  <si>
    <t>Débit d'air neuf min</t>
  </si>
  <si>
    <t>Débit repris</t>
  </si>
  <si>
    <t>Tx renouv min</t>
  </si>
  <si>
    <t>Extraction spécifique max</t>
  </si>
  <si>
    <t>Extraction spécifique min</t>
  </si>
  <si>
    <t>Extracteur spécifique</t>
  </si>
  <si>
    <t>paillasse ventilée pour le désachage</t>
  </si>
  <si>
    <t>Dégagements thermiques</t>
  </si>
  <si>
    <t xml:space="preserve">Arrivée et evacuation d'eau </t>
  </si>
  <si>
    <t>débit d'extraction unitaire max (m3/h)</t>
  </si>
  <si>
    <t>débit d'extraction unitaire min (m3/h)</t>
  </si>
  <si>
    <t>armoire transmurale</t>
  </si>
  <si>
    <t>débit d'extraction unitaire (m3/h)</t>
  </si>
  <si>
    <t>armoire chimique double porte</t>
  </si>
  <si>
    <t>station pneumatique</t>
  </si>
  <si>
    <t>armoire ventilée</t>
  </si>
  <si>
    <t>poste de vidange</t>
  </si>
  <si>
    <t>débit d'extraction unitaire min(m3/h)</t>
  </si>
  <si>
    <t>Lave vaisselle avec séchage LANCER 1400</t>
  </si>
  <si>
    <t>scie à diamant</t>
  </si>
  <si>
    <t>tissue safe</t>
  </si>
  <si>
    <t>étuve</t>
  </si>
  <si>
    <t>VIP</t>
  </si>
  <si>
    <t>Table de macroscopie. Poste de biopsies</t>
  </si>
  <si>
    <t>Double table de macroscopie - postes médecins internes</t>
  </si>
  <si>
    <t>Table de macroscopie - poste de recoupe</t>
  </si>
  <si>
    <t>Poste de fixation</t>
  </si>
  <si>
    <t>Armoire transmurale 800</t>
  </si>
  <si>
    <t>armoire ventillée basse sous paillasse TECH INT</t>
  </si>
  <si>
    <t>Dégagement thermiques</t>
  </si>
  <si>
    <t>graveuse leica + ordi</t>
  </si>
  <si>
    <t>mini graveuses de K7 + ordi</t>
  </si>
  <si>
    <t>Cuve azote</t>
  </si>
  <si>
    <t>Banc photo avec ordi</t>
  </si>
  <si>
    <t>Sorbonne avec évier - 180 cm d'espace de travail évier compris</t>
  </si>
  <si>
    <t>Cryostat MM France</t>
  </si>
  <si>
    <t>dégagement thermiques</t>
  </si>
  <si>
    <t>Table de macroscopie extempo</t>
  </si>
  <si>
    <t>Table de macroscopie pièces fraîches</t>
  </si>
  <si>
    <t>Poste de vidange de la macroscopie (acquis DSHA)</t>
  </si>
  <si>
    <t>Colorateur Artisan link DAKO</t>
  </si>
  <si>
    <t>Réfrigérateur</t>
  </si>
  <si>
    <t>Etuve sur paillasse</t>
  </si>
  <si>
    <t>Etuve 37°C sur paillasse</t>
  </si>
  <si>
    <t>Colorateur Tissue tek Sakura couplé à la monteuse de lame</t>
  </si>
  <si>
    <t>Monteuse de lame Tissue Tek</t>
  </si>
  <si>
    <t>Colorateur Histocore Spectra LEICA</t>
  </si>
  <si>
    <t>Cytospin sur meuble bas</t>
  </si>
  <si>
    <t>PSM sur pietement</t>
  </si>
  <si>
    <t>centrifugeuse</t>
  </si>
  <si>
    <t>Thinprep</t>
  </si>
  <si>
    <t>Microtome</t>
  </si>
  <si>
    <t>Congélateur</t>
  </si>
  <si>
    <t>Une grande sorbonne pour les inclusions</t>
  </si>
  <si>
    <t>Sorbonne pour décalcifiant (50 cm de travail)</t>
  </si>
  <si>
    <t>scanner de lames</t>
  </si>
  <si>
    <t>Sorbonne avec vidange de solvants</t>
  </si>
  <si>
    <t>Armoire chimique simple porte</t>
  </si>
  <si>
    <t>Balance</t>
  </si>
  <si>
    <t>Etuve à 56°C</t>
  </si>
  <si>
    <t>Etuve vaisselle</t>
  </si>
  <si>
    <t>Ultramicrotome</t>
  </si>
  <si>
    <t>Pyramitome</t>
  </si>
  <si>
    <t>Microscope électronique</t>
  </si>
  <si>
    <t>congélateurs -80°C</t>
  </si>
  <si>
    <t>Modem MY SIRIUS</t>
  </si>
  <si>
    <t>hotte pour scie
Macroscopie</t>
  </si>
  <si>
    <t>[m²]</t>
  </si>
  <si>
    <t>[m]</t>
  </si>
  <si>
    <t>[m3]</t>
  </si>
  <si>
    <t>°C</t>
  </si>
  <si>
    <t>W</t>
  </si>
  <si>
    <t>m3/h</t>
  </si>
  <si>
    <t>vol/h</t>
  </si>
  <si>
    <t>U</t>
  </si>
  <si>
    <t>-2 D 67</t>
  </si>
  <si>
    <t>Micro-electro</t>
  </si>
  <si>
    <t>Anatomie Pathologie</t>
  </si>
  <si>
    <t>S2</t>
  </si>
  <si>
    <t>-</t>
  </si>
  <si>
    <t>OUI</t>
  </si>
  <si>
    <t>DF</t>
  </si>
  <si>
    <t>Cassettes plafonnières</t>
  </si>
  <si>
    <t>CTA labo 12</t>
  </si>
  <si>
    <t>VEX 12</t>
  </si>
  <si>
    <t>EXT 3</t>
  </si>
  <si>
    <t>NON</t>
  </si>
  <si>
    <t>-2 D 04 CS</t>
  </si>
  <si>
    <t>Circulation</t>
  </si>
  <si>
    <t>NC</t>
  </si>
  <si>
    <t>VEX12</t>
  </si>
  <si>
    <t>-2 D 68</t>
  </si>
  <si>
    <t>Secteur coupe</t>
  </si>
  <si>
    <t>EXT 4</t>
  </si>
  <si>
    <t>-2 D 02 CS</t>
  </si>
  <si>
    <t>Aucun</t>
  </si>
  <si>
    <t>CTA labo 12B</t>
  </si>
  <si>
    <t>-2 D 70</t>
  </si>
  <si>
    <t>Automates</t>
  </si>
  <si>
    <t>-2 D 14</t>
  </si>
  <si>
    <t>Cyto techq</t>
  </si>
  <si>
    <t>-2 D 13</t>
  </si>
  <si>
    <t>Cyto lecture</t>
  </si>
  <si>
    <t>-2 D 01 CS</t>
  </si>
  <si>
    <t>-2 D 12</t>
  </si>
  <si>
    <t>Extempo</t>
  </si>
  <si>
    <t>--</t>
  </si>
  <si>
    <t>-2 D 10</t>
  </si>
  <si>
    <t>Macroscopie</t>
  </si>
  <si>
    <t>EXT 4 + 5</t>
  </si>
  <si>
    <t>-2 D 08</t>
  </si>
  <si>
    <t>Zone logistique macro</t>
  </si>
  <si>
    <t>EXT 5</t>
  </si>
  <si>
    <t>-2 D 06</t>
  </si>
  <si>
    <t>Reception prélèvements</t>
  </si>
  <si>
    <t>-2 D 05</t>
  </si>
  <si>
    <t>LT Pneumatique</t>
  </si>
  <si>
    <t>-2 D 04</t>
  </si>
  <si>
    <t>Déchets ménagers</t>
  </si>
  <si>
    <t>-2 D 01 B</t>
  </si>
  <si>
    <t>Laverie</t>
  </si>
  <si>
    <t>-2 D 01 A</t>
  </si>
  <si>
    <t>Stock Azote + Congel -80°C</t>
  </si>
  <si>
    <t>EXT AZOTE</t>
  </si>
  <si>
    <t>Extracteur spécifique azote</t>
  </si>
  <si>
    <t>-2 D 03 CS</t>
  </si>
  <si>
    <t>-2 D 86</t>
  </si>
  <si>
    <t>Vestiaires</t>
  </si>
  <si>
    <t>-2 D 77</t>
  </si>
  <si>
    <t>-2 D 78</t>
  </si>
  <si>
    <t>WC PMR</t>
  </si>
  <si>
    <t>-2 D 79</t>
  </si>
  <si>
    <t>WC F</t>
  </si>
  <si>
    <t>-2 D 80</t>
  </si>
  <si>
    <t>WC H</t>
  </si>
  <si>
    <t>-2 D 81</t>
  </si>
  <si>
    <t>Deshabilloir 1</t>
  </si>
  <si>
    <t>-2 D 82</t>
  </si>
  <si>
    <t>Deshabilloir 2</t>
  </si>
  <si>
    <t>-2 D 83</t>
  </si>
  <si>
    <t>Deshabilloir 3</t>
  </si>
  <si>
    <t>-2 D 84</t>
  </si>
  <si>
    <t>Deshabilloir 4</t>
  </si>
  <si>
    <t>-2 D 85</t>
  </si>
  <si>
    <t>Deshabilloir 5</t>
  </si>
  <si>
    <t>-2 D 72</t>
  </si>
  <si>
    <t>Stockage consommable + congélateur -80°C</t>
  </si>
  <si>
    <t>-2 D 66</t>
  </si>
  <si>
    <t>Local technique VDI + TDCFO</t>
  </si>
  <si>
    <t>Climatisation murale</t>
  </si>
  <si>
    <t>-2 D 65</t>
  </si>
  <si>
    <t>Salle de recherche</t>
  </si>
  <si>
    <t>-2 E 15</t>
  </si>
  <si>
    <t>Interne AP</t>
  </si>
  <si>
    <t>-2 E 46</t>
  </si>
  <si>
    <t>Salle de détente</t>
  </si>
  <si>
    <t>-2 D 47</t>
  </si>
  <si>
    <t>Archivage Blocs</t>
  </si>
  <si>
    <t>Hypothèses :</t>
  </si>
  <si>
    <t>80W d'apport/pers</t>
  </si>
  <si>
    <t>150W d'apport/poste de travail</t>
  </si>
  <si>
    <t xml:space="preserve">12W/m² pour les labos; 6W/m² pour les autres d'apport éclairage </t>
  </si>
  <si>
    <t>Sorbonne</t>
  </si>
  <si>
    <t>Armoire chimique</t>
  </si>
  <si>
    <t>-2 D 19</t>
  </si>
  <si>
    <t>Bureau tumorothèque</t>
  </si>
  <si>
    <t>phase 1</t>
  </si>
  <si>
    <t>-2 D 18</t>
  </si>
  <si>
    <t>PCR POR tumorothèque</t>
  </si>
  <si>
    <t>-2 D 17</t>
  </si>
  <si>
    <t>Histoenzyrologie Met</t>
  </si>
  <si>
    <t>-2 D 16</t>
  </si>
  <si>
    <t>Coloration immunochimie</t>
  </si>
  <si>
    <t>EXT 1 + 2</t>
  </si>
  <si>
    <t>-2 D 15</t>
  </si>
  <si>
    <t>Automate immunochimie</t>
  </si>
  <si>
    <t>-2 D 20</t>
  </si>
  <si>
    <t>Bureau ingénieur</t>
  </si>
  <si>
    <t>-2 D 21</t>
  </si>
  <si>
    <t>Bureau médecin</t>
  </si>
  <si>
    <t>-2 D 22</t>
  </si>
  <si>
    <t>-2 D 23</t>
  </si>
  <si>
    <t>secrétariat</t>
  </si>
  <si>
    <t>-2 D 26 / -2D 27</t>
  </si>
  <si>
    <t>Bureau cadre / internes</t>
  </si>
  <si>
    <t>-2 D 28</t>
  </si>
  <si>
    <t>Bureau</t>
  </si>
  <si>
    <t>-2 D 29</t>
  </si>
  <si>
    <t>Bureau des internes</t>
  </si>
  <si>
    <t>-2 D 30</t>
  </si>
  <si>
    <t>-2 D 31</t>
  </si>
  <si>
    <t>-2 D 32</t>
  </si>
  <si>
    <t>-2 D 33</t>
  </si>
  <si>
    <t>-2 D 34</t>
  </si>
  <si>
    <t>-2 D 35</t>
  </si>
  <si>
    <t>Salle de réunion / bibliothèque</t>
  </si>
  <si>
    <t>-2 D 08.CS</t>
  </si>
  <si>
    <t>circulation</t>
  </si>
  <si>
    <t>-2 D 06.CS</t>
  </si>
  <si>
    <t>-2 D 07.CS</t>
  </si>
  <si>
    <t>Débits</t>
  </si>
  <si>
    <t>Débit de soufflage phases 2 et 3</t>
  </si>
  <si>
    <r>
      <t>m</t>
    </r>
    <r>
      <rPr>
        <vertAlign val="superscript"/>
        <sz val="11"/>
        <color theme="1"/>
        <rFont val="Aptos Narrow"/>
        <family val="2"/>
        <scheme val="minor"/>
      </rPr>
      <t>3</t>
    </r>
    <r>
      <rPr>
        <sz val="11"/>
        <color theme="1"/>
        <rFont val="Aptos Narrow"/>
        <family val="2"/>
        <scheme val="minor"/>
      </rPr>
      <t>/h</t>
    </r>
  </si>
  <si>
    <t>Débit de soufflage phase 1</t>
  </si>
  <si>
    <t>Débit de soufflage services annexes</t>
  </si>
  <si>
    <t>Caisson de soufflage existant</t>
  </si>
  <si>
    <t>Caisson de soufflage additionnel</t>
  </si>
  <si>
    <t>débit de soufflage total</t>
  </si>
  <si>
    <r>
      <t>m</t>
    </r>
    <r>
      <rPr>
        <b/>
        <vertAlign val="superscript"/>
        <sz val="11"/>
        <color theme="1"/>
        <rFont val="Aptos Narrow"/>
        <family val="2"/>
        <scheme val="minor"/>
      </rPr>
      <t>3</t>
    </r>
    <r>
      <rPr>
        <b/>
        <sz val="11"/>
        <color theme="1"/>
        <rFont val="Aptos Narrow"/>
        <family val="2"/>
        <scheme val="minor"/>
      </rPr>
      <t>/h</t>
    </r>
  </si>
  <si>
    <t>Débit de reprise phases 2 et 3</t>
  </si>
  <si>
    <t>Débit de reprise phase 1</t>
  </si>
  <si>
    <t>Débit de reprise services annexes</t>
  </si>
  <si>
    <t>Caisson de reprise existant</t>
  </si>
  <si>
    <t>débit de reprise total</t>
  </si>
  <si>
    <t>Débit d'extraction spé. phases 2 et 3</t>
  </si>
  <si>
    <t>Débit d'extraction spé. phase 1</t>
  </si>
  <si>
    <t>Débit d'extraction spé. services annexes</t>
  </si>
  <si>
    <t>Caisson d'extraction spé. 1</t>
  </si>
  <si>
    <t>Caisson d'extraction spé. 2</t>
  </si>
  <si>
    <t>Caisson d'extraction spé. 3</t>
  </si>
  <si>
    <t>Caisson d'extraction spé. 4</t>
  </si>
  <si>
    <t>Caisson d'extraction spé. 5</t>
  </si>
  <si>
    <t>Caisson d'extraction local azote</t>
  </si>
  <si>
    <t>débit d'extraction spé. Total</t>
  </si>
  <si>
    <t>Débit réel CTA 12</t>
  </si>
  <si>
    <t>Débit réel CTA12B</t>
  </si>
  <si>
    <t>Débit réel EXT 1</t>
  </si>
  <si>
    <t>Débit réel EXT 2</t>
  </si>
  <si>
    <t>Débit réel EXT 3</t>
  </si>
  <si>
    <t>Débit réel EXT 4</t>
  </si>
  <si>
    <t>Débit réel EXT 5</t>
  </si>
  <si>
    <t>Débit réel EXT 4 + 5</t>
  </si>
  <si>
    <t>Débit réel EXT 1 + 2</t>
  </si>
  <si>
    <t>Caractéristiques</t>
  </si>
  <si>
    <t>PLOMBERIE</t>
  </si>
  <si>
    <t>WC</t>
  </si>
  <si>
    <t>LAVE MAINS</t>
  </si>
  <si>
    <t>LAVABO</t>
  </si>
  <si>
    <t>PAILLASSE HUMIDE
1 BAC</t>
  </si>
  <si>
    <t>SS</t>
  </si>
  <si>
    <t>EVACUATION</t>
  </si>
  <si>
    <t>/EU spécifique</t>
  </si>
  <si>
    <t>EF/EC/EU spécifique</t>
  </si>
  <si>
    <t>EF/EU spécifique</t>
  </si>
  <si>
    <t>-2 E 16</t>
  </si>
  <si>
    <t>Laboratoire Hemoculture</t>
  </si>
  <si>
    <t>???</t>
  </si>
  <si>
    <t xml:space="preserve">Bureau ? </t>
  </si>
  <si>
    <t>-2 E</t>
  </si>
  <si>
    <t>-2 ???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</si>
</sst>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"/>
    <numFmt numFmtId="165" formatCode="_-* #,##0_-;\-* #,##0_-;_-* &quot;-&quot;??_-;_-@_-"/>
  </numFmts>
  <fonts count="12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sz val="12"/>
      <color rgb="FFFF0000"/>
      <name val="Arial"/>
      <family val="2"/>
    </font>
    <font>
      <sz val="8"/>
      <name val="Aptos Narrow"/>
      <family val="2"/>
      <scheme val="minor"/>
    </font>
    <font>
      <sz val="10"/>
      <color theme="1"/>
      <name val="Arial"/>
      <family val="2"/>
    </font>
    <font>
      <b/>
      <sz val="12"/>
      <name val="Arial"/>
      <family val="2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12"/>
      <name val="Arial"/>
      <family val="2"/>
    </font>
    <font>
      <vertAlign val="superscript"/>
      <sz val="11"/>
      <color theme="1"/>
      <name val="Aptos Narrow"/>
      <family val="2"/>
      <scheme val="minor"/>
    </font>
    <font>
      <b/>
      <vertAlign val="superscript"/>
      <sz val="11"/>
      <color theme="1"/>
      <name val="Aptos Narrow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81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double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double">
        <color indexed="64"/>
      </right>
      <top/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/>
      <bottom style="dash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39">
    <xf numFmtId="0" fontId="0" fillId="0" borderId="0" xfId="0"/>
    <xf numFmtId="49" fontId="1" fillId="0" borderId="0" xfId="0" applyNumberFormat="1" applyFont="1"/>
    <xf numFmtId="0" fontId="1" fillId="0" borderId="0" xfId="0" applyFont="1"/>
    <xf numFmtId="3" fontId="0" fillId="0" borderId="0" xfId="0" applyNumberFormat="1"/>
    <xf numFmtId="0" fontId="2" fillId="0" borderId="0" xfId="0" applyFont="1" applyAlignment="1">
      <alignment horizontal="center" vertical="center"/>
    </xf>
    <xf numFmtId="0" fontId="1" fillId="0" borderId="0" xfId="0" applyFont="1" applyProtection="1">
      <protection locked="0"/>
    </xf>
    <xf numFmtId="0" fontId="0" fillId="0" borderId="7" xfId="0" applyBorder="1"/>
    <xf numFmtId="0" fontId="1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/>
      <protection locked="0"/>
    </xf>
    <xf numFmtId="0" fontId="4" fillId="0" borderId="3" xfId="0" applyFont="1" applyBorder="1" applyAlignment="1">
      <alignment horizontal="left"/>
    </xf>
    <xf numFmtId="0" fontId="1" fillId="0" borderId="3" xfId="0" applyFont="1" applyBorder="1" applyAlignment="1" applyProtection="1">
      <alignment horizontal="center"/>
      <protection locked="0"/>
    </xf>
    <xf numFmtId="0" fontId="1" fillId="0" borderId="3" xfId="0" applyFont="1" applyBorder="1" applyAlignment="1">
      <alignment horizontal="center"/>
    </xf>
    <xf numFmtId="3" fontId="1" fillId="0" borderId="3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7" borderId="0" xfId="0" applyFont="1" applyFill="1"/>
    <xf numFmtId="0" fontId="1" fillId="7" borderId="1" xfId="0" applyFont="1" applyFill="1" applyBorder="1" applyAlignment="1" applyProtection="1">
      <alignment horizontal="center"/>
      <protection locked="0"/>
    </xf>
    <xf numFmtId="0" fontId="4" fillId="7" borderId="3" xfId="0" applyFont="1" applyFill="1" applyBorder="1" applyAlignment="1">
      <alignment horizontal="left"/>
    </xf>
    <xf numFmtId="0" fontId="1" fillId="7" borderId="3" xfId="0" applyFont="1" applyFill="1" applyBorder="1" applyAlignment="1" applyProtection="1">
      <alignment horizontal="center"/>
      <protection locked="0"/>
    </xf>
    <xf numFmtId="0" fontId="1" fillId="7" borderId="3" xfId="0" applyFont="1" applyFill="1" applyBorder="1" applyAlignment="1">
      <alignment horizontal="center"/>
    </xf>
    <xf numFmtId="3" fontId="1" fillId="7" borderId="3" xfId="0" applyNumberFormat="1" applyFont="1" applyFill="1" applyBorder="1" applyAlignment="1">
      <alignment horizontal="center"/>
    </xf>
    <xf numFmtId="0" fontId="1" fillId="7" borderId="6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7" borderId="4" xfId="0" applyFont="1" applyFill="1" applyBorder="1" applyAlignment="1">
      <alignment horizontal="center"/>
    </xf>
    <xf numFmtId="164" fontId="1" fillId="7" borderId="4" xfId="0" applyNumberFormat="1" applyFont="1" applyFill="1" applyBorder="1" applyAlignment="1">
      <alignment horizontal="center"/>
    </xf>
    <xf numFmtId="0" fontId="1" fillId="7" borderId="7" xfId="0" applyFont="1" applyFill="1" applyBorder="1" applyAlignment="1">
      <alignment horizontal="center"/>
    </xf>
    <xf numFmtId="0" fontId="1" fillId="4" borderId="0" xfId="0" applyFont="1" applyFill="1"/>
    <xf numFmtId="0" fontId="1" fillId="4" borderId="1" xfId="0" applyFont="1" applyFill="1" applyBorder="1" applyAlignment="1" applyProtection="1">
      <alignment horizontal="center"/>
      <protection locked="0"/>
    </xf>
    <xf numFmtId="0" fontId="4" fillId="4" borderId="3" xfId="0" applyFont="1" applyFill="1" applyBorder="1" applyAlignment="1">
      <alignment horizontal="left"/>
    </xf>
    <xf numFmtId="0" fontId="1" fillId="4" borderId="3" xfId="0" applyFont="1" applyFill="1" applyBorder="1" applyAlignment="1" applyProtection="1">
      <alignment horizontal="center"/>
      <protection locked="0"/>
    </xf>
    <xf numFmtId="0" fontId="1" fillId="4" borderId="3" xfId="0" applyFont="1" applyFill="1" applyBorder="1" applyAlignment="1">
      <alignment horizontal="center"/>
    </xf>
    <xf numFmtId="3" fontId="1" fillId="4" borderId="3" xfId="0" applyNumberFormat="1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164" fontId="1" fillId="4" borderId="4" xfId="0" applyNumberFormat="1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1" fontId="1" fillId="0" borderId="3" xfId="0" applyNumberFormat="1" applyFont="1" applyBorder="1" applyAlignment="1">
      <alignment horizontal="center"/>
    </xf>
    <xf numFmtId="1" fontId="1" fillId="7" borderId="3" xfId="0" applyNumberFormat="1" applyFont="1" applyFill="1" applyBorder="1" applyAlignment="1">
      <alignment horizontal="center"/>
    </xf>
    <xf numFmtId="1" fontId="1" fillId="4" borderId="3" xfId="0" applyNumberFormat="1" applyFont="1" applyFill="1" applyBorder="1" applyAlignment="1">
      <alignment horizontal="center"/>
    </xf>
    <xf numFmtId="1" fontId="1" fillId="0" borderId="4" xfId="0" applyNumberFormat="1" applyFont="1" applyBorder="1" applyAlignment="1">
      <alignment horizontal="center"/>
    </xf>
    <xf numFmtId="1" fontId="1" fillId="4" borderId="4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7" borderId="2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7" borderId="5" xfId="0" quotePrefix="1" applyFont="1" applyFill="1" applyBorder="1" applyAlignment="1">
      <alignment horizontal="center"/>
    </xf>
    <xf numFmtId="0" fontId="1" fillId="4" borderId="5" xfId="0" quotePrefix="1" applyFont="1" applyFill="1" applyBorder="1" applyAlignment="1">
      <alignment horizontal="center"/>
    </xf>
    <xf numFmtId="0" fontId="1" fillId="0" borderId="5" xfId="0" quotePrefix="1" applyFont="1" applyBorder="1" applyAlignment="1">
      <alignment horizontal="center"/>
    </xf>
    <xf numFmtId="0" fontId="1" fillId="7" borderId="2" xfId="0" quotePrefix="1" applyFont="1" applyFill="1" applyBorder="1" applyAlignment="1">
      <alignment horizontal="center"/>
    </xf>
    <xf numFmtId="0" fontId="1" fillId="0" borderId="2" xfId="0" quotePrefix="1" applyFont="1" applyBorder="1" applyAlignment="1">
      <alignment horizontal="center"/>
    </xf>
    <xf numFmtId="1" fontId="1" fillId="0" borderId="2" xfId="0" applyNumberFormat="1" applyFont="1" applyBorder="1" applyAlignment="1">
      <alignment horizontal="center"/>
    </xf>
    <xf numFmtId="1" fontId="1" fillId="7" borderId="2" xfId="0" applyNumberFormat="1" applyFont="1" applyFill="1" applyBorder="1" applyAlignment="1">
      <alignment horizontal="center"/>
    </xf>
    <xf numFmtId="1" fontId="1" fillId="0" borderId="2" xfId="0" quotePrefix="1" applyNumberFormat="1" applyFont="1" applyBorder="1" applyAlignment="1">
      <alignment horizontal="center"/>
    </xf>
    <xf numFmtId="1" fontId="1" fillId="7" borderId="2" xfId="0" quotePrefix="1" applyNumberFormat="1" applyFont="1" applyFill="1" applyBorder="1" applyAlignment="1">
      <alignment horizontal="center"/>
    </xf>
    <xf numFmtId="1" fontId="1" fillId="4" borderId="3" xfId="0" quotePrefix="1" applyNumberFormat="1" applyFont="1" applyFill="1" applyBorder="1" applyAlignment="1">
      <alignment horizontal="center"/>
    </xf>
    <xf numFmtId="1" fontId="1" fillId="0" borderId="3" xfId="0" quotePrefix="1" applyNumberFormat="1" applyFont="1" applyBorder="1" applyAlignment="1">
      <alignment horizontal="center"/>
    </xf>
    <xf numFmtId="0" fontId="1" fillId="0" borderId="3" xfId="0" quotePrefix="1" applyFont="1" applyBorder="1" applyAlignment="1">
      <alignment horizontal="center"/>
    </xf>
    <xf numFmtId="1" fontId="1" fillId="7" borderId="3" xfId="0" quotePrefix="1" applyNumberFormat="1" applyFont="1" applyFill="1" applyBorder="1" applyAlignment="1">
      <alignment horizontal="center"/>
    </xf>
    <xf numFmtId="0" fontId="1" fillId="4" borderId="3" xfId="0" quotePrefix="1" applyFont="1" applyFill="1" applyBorder="1" applyAlignment="1">
      <alignment horizontal="center"/>
    </xf>
    <xf numFmtId="0" fontId="1" fillId="0" borderId="9" xfId="0" applyFont="1" applyBorder="1" applyAlignment="1" applyProtection="1">
      <alignment horizontal="center"/>
      <protection locked="0"/>
    </xf>
    <xf numFmtId="0" fontId="1" fillId="7" borderId="9" xfId="0" applyFont="1" applyFill="1" applyBorder="1" applyAlignment="1" applyProtection="1">
      <alignment horizontal="center"/>
      <protection locked="0"/>
    </xf>
    <xf numFmtId="0" fontId="1" fillId="4" borderId="9" xfId="0" applyFont="1" applyFill="1" applyBorder="1" applyAlignment="1" applyProtection="1">
      <alignment horizontal="center"/>
      <protection locked="0"/>
    </xf>
    <xf numFmtId="0" fontId="4" fillId="0" borderId="10" xfId="0" applyFont="1" applyBorder="1" applyAlignment="1">
      <alignment horizontal="left"/>
    </xf>
    <xf numFmtId="0" fontId="1" fillId="0" borderId="11" xfId="0" applyFont="1" applyBorder="1" applyAlignment="1" applyProtection="1">
      <alignment horizontal="center"/>
      <protection locked="0"/>
    </xf>
    <xf numFmtId="1" fontId="1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3" fontId="1" fillId="0" borderId="11" xfId="0" applyNumberFormat="1" applyFont="1" applyBorder="1" applyAlignment="1">
      <alignment horizontal="center"/>
    </xf>
    <xf numFmtId="0" fontId="4" fillId="7" borderId="10" xfId="0" applyFont="1" applyFill="1" applyBorder="1" applyAlignment="1">
      <alignment horizontal="left"/>
    </xf>
    <xf numFmtId="0" fontId="1" fillId="7" borderId="11" xfId="0" applyFont="1" applyFill="1" applyBorder="1" applyAlignment="1" applyProtection="1">
      <alignment horizontal="center"/>
      <protection locked="0"/>
    </xf>
    <xf numFmtId="1" fontId="1" fillId="7" borderId="11" xfId="0" applyNumberFormat="1" applyFont="1" applyFill="1" applyBorder="1" applyAlignment="1">
      <alignment horizontal="center"/>
    </xf>
    <xf numFmtId="0" fontId="1" fillId="7" borderId="11" xfId="0" applyFont="1" applyFill="1" applyBorder="1" applyAlignment="1">
      <alignment horizontal="center"/>
    </xf>
    <xf numFmtId="3" fontId="1" fillId="7" borderId="11" xfId="0" applyNumberFormat="1" applyFont="1" applyFill="1" applyBorder="1" applyAlignment="1">
      <alignment horizontal="center"/>
    </xf>
    <xf numFmtId="0" fontId="4" fillId="4" borderId="10" xfId="0" applyFont="1" applyFill="1" applyBorder="1" applyAlignment="1">
      <alignment horizontal="left"/>
    </xf>
    <xf numFmtId="0" fontId="1" fillId="4" borderId="11" xfId="0" applyFont="1" applyFill="1" applyBorder="1" applyAlignment="1" applyProtection="1">
      <alignment horizontal="center"/>
      <protection locked="0"/>
    </xf>
    <xf numFmtId="1" fontId="1" fillId="4" borderId="11" xfId="0" applyNumberFormat="1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3" fontId="1" fillId="4" borderId="11" xfId="0" applyNumberFormat="1" applyFont="1" applyFill="1" applyBorder="1" applyAlignment="1">
      <alignment horizontal="center"/>
    </xf>
    <xf numFmtId="0" fontId="4" fillId="0" borderId="12" xfId="0" applyFont="1" applyBorder="1" applyAlignment="1">
      <alignment horizontal="left"/>
    </xf>
    <xf numFmtId="0" fontId="1" fillId="0" borderId="13" xfId="0" applyFont="1" applyBorder="1" applyAlignment="1" applyProtection="1">
      <alignment horizontal="center"/>
      <protection locked="0"/>
    </xf>
    <xf numFmtId="1" fontId="1" fillId="0" borderId="13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3" fontId="1" fillId="0" borderId="13" xfId="0" applyNumberFormat="1" applyFont="1" applyBorder="1" applyAlignment="1">
      <alignment horizontal="center"/>
    </xf>
    <xf numFmtId="0" fontId="1" fillId="2" borderId="1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0" borderId="27" xfId="0" applyFont="1" applyBorder="1" applyAlignment="1" applyProtection="1">
      <alignment horizontal="center"/>
      <protection locked="0"/>
    </xf>
    <xf numFmtId="0" fontId="4" fillId="0" borderId="28" xfId="0" applyFont="1" applyBorder="1" applyAlignment="1">
      <alignment horizontal="left"/>
    </xf>
    <xf numFmtId="0" fontId="1" fillId="0" borderId="28" xfId="0" applyFont="1" applyBorder="1" applyAlignment="1" applyProtection="1">
      <alignment horizontal="center"/>
      <protection locked="0"/>
    </xf>
    <xf numFmtId="1" fontId="1" fillId="0" borderId="28" xfId="0" applyNumberFormat="1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3" fontId="1" fillId="0" borderId="28" xfId="0" applyNumberFormat="1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49" fontId="1" fillId="2" borderId="18" xfId="0" applyNumberFormat="1" applyFont="1" applyFill="1" applyBorder="1" applyAlignment="1">
      <alignment horizontal="center" vertical="center"/>
    </xf>
    <xf numFmtId="49" fontId="1" fillId="2" borderId="16" xfId="0" applyNumberFormat="1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 wrapText="1"/>
    </xf>
    <xf numFmtId="0" fontId="1" fillId="8" borderId="17" xfId="0" applyFont="1" applyFill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 applyProtection="1">
      <alignment horizontal="center"/>
      <protection locked="0"/>
    </xf>
    <xf numFmtId="0" fontId="1" fillId="7" borderId="33" xfId="0" applyFont="1" applyFill="1" applyBorder="1" applyAlignment="1" applyProtection="1">
      <alignment horizontal="center"/>
      <protection locked="0"/>
    </xf>
    <xf numFmtId="0" fontId="1" fillId="7" borderId="34" xfId="0" quotePrefix="1" applyFont="1" applyFill="1" applyBorder="1" applyAlignment="1">
      <alignment horizontal="center"/>
    </xf>
    <xf numFmtId="0" fontId="1" fillId="0" borderId="33" xfId="0" applyFont="1" applyBorder="1" applyAlignment="1" applyProtection="1">
      <alignment horizontal="center"/>
      <protection locked="0"/>
    </xf>
    <xf numFmtId="0" fontId="1" fillId="0" borderId="34" xfId="0" applyFont="1" applyBorder="1" applyAlignment="1">
      <alignment horizontal="center"/>
    </xf>
    <xf numFmtId="0" fontId="1" fillId="4" borderId="33" xfId="0" applyFont="1" applyFill="1" applyBorder="1" applyAlignment="1" applyProtection="1">
      <alignment horizontal="center"/>
      <protection locked="0"/>
    </xf>
    <xf numFmtId="0" fontId="1" fillId="4" borderId="34" xfId="0" applyFont="1" applyFill="1" applyBorder="1" applyAlignment="1">
      <alignment horizontal="center"/>
    </xf>
    <xf numFmtId="0" fontId="1" fillId="4" borderId="34" xfId="0" quotePrefix="1" applyFont="1" applyFill="1" applyBorder="1" applyAlignment="1">
      <alignment horizontal="center"/>
    </xf>
    <xf numFmtId="0" fontId="1" fillId="0" borderId="34" xfId="0" quotePrefix="1" applyFont="1" applyBorder="1" applyAlignment="1">
      <alignment horizontal="center"/>
    </xf>
    <xf numFmtId="0" fontId="1" fillId="0" borderId="32" xfId="0" quotePrefix="1" applyFont="1" applyBorder="1" applyAlignment="1">
      <alignment horizontal="center"/>
    </xf>
    <xf numFmtId="0" fontId="1" fillId="3" borderId="17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9" borderId="36" xfId="0" applyFont="1" applyFill="1" applyBorder="1" applyAlignment="1">
      <alignment horizontal="center" vertical="center" wrapText="1"/>
    </xf>
    <xf numFmtId="0" fontId="1" fillId="9" borderId="35" xfId="0" applyFont="1" applyFill="1" applyBorder="1" applyAlignment="1">
      <alignment horizontal="center" vertical="center" wrapText="1"/>
    </xf>
    <xf numFmtId="3" fontId="1" fillId="9" borderId="37" xfId="0" applyNumberFormat="1" applyFont="1" applyFill="1" applyBorder="1" applyAlignment="1">
      <alignment horizontal="center" vertical="center" wrapText="1"/>
    </xf>
    <xf numFmtId="3" fontId="1" fillId="9" borderId="38" xfId="0" applyNumberFormat="1" applyFont="1" applyFill="1" applyBorder="1" applyAlignment="1">
      <alignment horizontal="center" vertical="center" wrapText="1"/>
    </xf>
    <xf numFmtId="0" fontId="1" fillId="9" borderId="39" xfId="0" applyFont="1" applyFill="1" applyBorder="1" applyAlignment="1">
      <alignment horizontal="center" vertical="center" wrapText="1"/>
    </xf>
    <xf numFmtId="3" fontId="6" fillId="0" borderId="0" xfId="0" applyNumberFormat="1" applyFont="1" applyAlignment="1">
      <alignment horizontal="center"/>
    </xf>
    <xf numFmtId="165" fontId="0" fillId="0" borderId="0" xfId="1" applyNumberFormat="1" applyFont="1"/>
    <xf numFmtId="0" fontId="8" fillId="0" borderId="0" xfId="0" applyFont="1"/>
    <xf numFmtId="0" fontId="5" fillId="9" borderId="40" xfId="0" applyFont="1" applyFill="1" applyBorder="1" applyAlignment="1">
      <alignment horizontal="centerContinuous" vertical="center"/>
    </xf>
    <xf numFmtId="0" fontId="5" fillId="9" borderId="41" xfId="0" applyFont="1" applyFill="1" applyBorder="1" applyAlignment="1">
      <alignment horizontal="centerContinuous" vertical="center"/>
    </xf>
    <xf numFmtId="0" fontId="5" fillId="9" borderId="42" xfId="0" applyFont="1" applyFill="1" applyBorder="1" applyAlignment="1">
      <alignment horizontal="centerContinuous" vertical="center"/>
    </xf>
    <xf numFmtId="0" fontId="5" fillId="8" borderId="14" xfId="0" applyFont="1" applyFill="1" applyBorder="1" applyAlignment="1">
      <alignment horizontal="centerContinuous" vertical="center"/>
    </xf>
    <xf numFmtId="0" fontId="5" fillId="8" borderId="15" xfId="0" applyFont="1" applyFill="1" applyBorder="1" applyAlignment="1">
      <alignment horizontal="centerContinuous" vertical="center"/>
    </xf>
    <xf numFmtId="0" fontId="5" fillId="2" borderId="21" xfId="0" applyFont="1" applyFill="1" applyBorder="1" applyAlignment="1">
      <alignment horizontal="centerContinuous" vertical="center"/>
    </xf>
    <xf numFmtId="0" fontId="5" fillId="2" borderId="22" xfId="0" applyFont="1" applyFill="1" applyBorder="1" applyAlignment="1">
      <alignment horizontal="centerContinuous" vertical="center"/>
    </xf>
    <xf numFmtId="0" fontId="5" fillId="2" borderId="23" xfId="0" applyFont="1" applyFill="1" applyBorder="1" applyAlignment="1">
      <alignment horizontal="centerContinuous" vertical="center"/>
    </xf>
    <xf numFmtId="164" fontId="1" fillId="0" borderId="43" xfId="0" applyNumberFormat="1" applyFont="1" applyBorder="1" applyAlignment="1">
      <alignment horizontal="center"/>
    </xf>
    <xf numFmtId="0" fontId="1" fillId="9" borderId="18" xfId="0" applyFont="1" applyFill="1" applyBorder="1" applyAlignment="1">
      <alignment horizontal="center" vertical="center"/>
    </xf>
    <xf numFmtId="0" fontId="1" fillId="9" borderId="44" xfId="0" applyFont="1" applyFill="1" applyBorder="1" applyAlignment="1">
      <alignment horizontal="center" vertical="center"/>
    </xf>
    <xf numFmtId="3" fontId="1" fillId="9" borderId="45" xfId="0" applyNumberFormat="1" applyFont="1" applyFill="1" applyBorder="1" applyAlignment="1">
      <alignment horizontal="center" vertical="center"/>
    </xf>
    <xf numFmtId="3" fontId="1" fillId="9" borderId="19" xfId="0" applyNumberFormat="1" applyFont="1" applyFill="1" applyBorder="1" applyAlignment="1">
      <alignment horizontal="center" vertical="center"/>
    </xf>
    <xf numFmtId="0" fontId="1" fillId="9" borderId="20" xfId="0" applyFont="1" applyFill="1" applyBorder="1" applyAlignment="1">
      <alignment horizontal="center" vertical="center"/>
    </xf>
    <xf numFmtId="0" fontId="1" fillId="0" borderId="46" xfId="0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1" fontId="1" fillId="0" borderId="47" xfId="0" applyNumberFormat="1" applyFont="1" applyBorder="1" applyAlignment="1">
      <alignment horizontal="center"/>
    </xf>
    <xf numFmtId="0" fontId="5" fillId="8" borderId="48" xfId="0" applyFont="1" applyFill="1" applyBorder="1" applyAlignment="1">
      <alignment horizontal="centerContinuous" vertical="center"/>
    </xf>
    <xf numFmtId="0" fontId="1" fillId="8" borderId="16" xfId="0" applyFont="1" applyFill="1" applyBorder="1" applyAlignment="1">
      <alignment horizontal="center" vertical="center" wrapText="1"/>
    </xf>
    <xf numFmtId="0" fontId="1" fillId="8" borderId="18" xfId="0" applyFont="1" applyFill="1" applyBorder="1" applyAlignment="1">
      <alignment horizontal="center" vertical="center"/>
    </xf>
    <xf numFmtId="0" fontId="1" fillId="8" borderId="19" xfId="0" applyFont="1" applyFill="1" applyBorder="1" applyAlignment="1">
      <alignment horizontal="center" vertical="center"/>
    </xf>
    <xf numFmtId="0" fontId="1" fillId="8" borderId="20" xfId="0" applyFont="1" applyFill="1" applyBorder="1" applyAlignment="1">
      <alignment horizontal="center" vertical="center"/>
    </xf>
    <xf numFmtId="0" fontId="5" fillId="3" borderId="30" xfId="0" applyFont="1" applyFill="1" applyBorder="1" applyAlignment="1">
      <alignment horizontal="centerContinuous" vertical="center"/>
    </xf>
    <xf numFmtId="0" fontId="5" fillId="3" borderId="7" xfId="0" applyFont="1" applyFill="1" applyBorder="1" applyAlignment="1">
      <alignment horizontal="centerContinuous" vertical="center"/>
    </xf>
    <xf numFmtId="0" fontId="9" fillId="3" borderId="7" xfId="0" applyFont="1" applyFill="1" applyBorder="1" applyAlignment="1">
      <alignment horizontal="centerContinuous" vertical="center"/>
    </xf>
    <xf numFmtId="3" fontId="1" fillId="0" borderId="4" xfId="0" applyNumberFormat="1" applyFont="1" applyBorder="1" applyAlignment="1">
      <alignment horizontal="center"/>
    </xf>
    <xf numFmtId="3" fontId="1" fillId="4" borderId="4" xfId="0" applyNumberFormat="1" applyFont="1" applyFill="1" applyBorder="1" applyAlignment="1">
      <alignment horizontal="center"/>
    </xf>
    <xf numFmtId="0" fontId="1" fillId="0" borderId="31" xfId="0" quotePrefix="1" applyFont="1" applyBorder="1" applyAlignment="1" applyProtection="1">
      <alignment horizontal="center"/>
      <protection locked="0"/>
    </xf>
    <xf numFmtId="0" fontId="1" fillId="0" borderId="49" xfId="0" quotePrefix="1" applyFont="1" applyBorder="1" applyAlignment="1" applyProtection="1">
      <alignment horizontal="center"/>
      <protection locked="0"/>
    </xf>
    <xf numFmtId="0" fontId="4" fillId="0" borderId="50" xfId="0" applyFont="1" applyBorder="1" applyAlignment="1">
      <alignment horizontal="center"/>
    </xf>
    <xf numFmtId="0" fontId="1" fillId="0" borderId="51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" fontId="1" fillId="0" borderId="50" xfId="0" applyNumberFormat="1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3" fontId="1" fillId="0" borderId="50" xfId="0" applyNumberFormat="1" applyFont="1" applyBorder="1" applyAlignment="1">
      <alignment horizontal="center"/>
    </xf>
    <xf numFmtId="1" fontId="1" fillId="0" borderId="19" xfId="0" applyNumberFormat="1" applyFont="1" applyBorder="1" applyAlignment="1">
      <alignment horizontal="center"/>
    </xf>
    <xf numFmtId="0" fontId="1" fillId="0" borderId="45" xfId="0" applyFont="1" applyBorder="1" applyAlignment="1" applyProtection="1">
      <alignment horizontal="center"/>
      <protection locked="0"/>
    </xf>
    <xf numFmtId="0" fontId="1" fillId="0" borderId="19" xfId="0" applyFont="1" applyBorder="1" applyAlignment="1" applyProtection="1">
      <alignment horizontal="center"/>
      <protection locked="0"/>
    </xf>
    <xf numFmtId="0" fontId="1" fillId="0" borderId="19" xfId="0" applyFont="1" applyBorder="1" applyAlignment="1">
      <alignment horizontal="center"/>
    </xf>
    <xf numFmtId="3" fontId="1" fillId="0" borderId="19" xfId="0" applyNumberFormat="1" applyFont="1" applyBorder="1" applyAlignment="1">
      <alignment horizontal="center"/>
    </xf>
    <xf numFmtId="0" fontId="1" fillId="0" borderId="54" xfId="0" applyFont="1" applyBorder="1" applyAlignment="1">
      <alignment horizontal="center"/>
    </xf>
    <xf numFmtId="0" fontId="1" fillId="0" borderId="55" xfId="0" applyFont="1" applyBorder="1" applyAlignment="1">
      <alignment horizontal="center"/>
    </xf>
    <xf numFmtId="1" fontId="1" fillId="0" borderId="55" xfId="0" applyNumberFormat="1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6" xfId="0" applyFont="1" applyBorder="1" applyAlignment="1">
      <alignment horizontal="center"/>
    </xf>
    <xf numFmtId="0" fontId="1" fillId="0" borderId="57" xfId="0" applyFont="1" applyBorder="1" applyAlignment="1">
      <alignment horizontal="center"/>
    </xf>
    <xf numFmtId="0" fontId="1" fillId="0" borderId="53" xfId="0" applyFont="1" applyBorder="1" applyAlignment="1">
      <alignment horizontal="center"/>
    </xf>
    <xf numFmtId="0" fontId="1" fillId="0" borderId="61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5" fillId="3" borderId="62" xfId="0" applyFont="1" applyFill="1" applyBorder="1" applyAlignment="1">
      <alignment horizontal="centerContinuous" vertical="center"/>
    </xf>
    <xf numFmtId="0" fontId="5" fillId="3" borderId="63" xfId="0" applyFont="1" applyFill="1" applyBorder="1" applyAlignment="1">
      <alignment horizontal="centerContinuous" vertical="center"/>
    </xf>
    <xf numFmtId="0" fontId="6" fillId="3" borderId="41" xfId="0" applyFont="1" applyFill="1" applyBorder="1" applyAlignment="1">
      <alignment horizontal="centerContinuous"/>
    </xf>
    <xf numFmtId="0" fontId="6" fillId="3" borderId="42" xfId="0" applyFont="1" applyFill="1" applyBorder="1" applyAlignment="1">
      <alignment horizontal="centerContinuous"/>
    </xf>
    <xf numFmtId="0" fontId="6" fillId="0" borderId="0" xfId="0" applyFont="1" applyAlignment="1">
      <alignment horizontal="center"/>
    </xf>
    <xf numFmtId="0" fontId="1" fillId="9" borderId="58" xfId="0" applyFont="1" applyFill="1" applyBorder="1" applyAlignment="1">
      <alignment horizontal="center" vertical="center" wrapText="1"/>
    </xf>
    <xf numFmtId="0" fontId="1" fillId="9" borderId="59" xfId="0" applyFont="1" applyFill="1" applyBorder="1" applyAlignment="1">
      <alignment horizontal="center" vertical="center" wrapText="1"/>
    </xf>
    <xf numFmtId="3" fontId="1" fillId="9" borderId="59" xfId="0" applyNumberFormat="1" applyFont="1" applyFill="1" applyBorder="1" applyAlignment="1">
      <alignment horizontal="center" vertical="center" wrapText="1"/>
    </xf>
    <xf numFmtId="0" fontId="1" fillId="9" borderId="19" xfId="0" applyFont="1" applyFill="1" applyBorder="1" applyAlignment="1">
      <alignment horizontal="center" vertical="center"/>
    </xf>
    <xf numFmtId="0" fontId="1" fillId="0" borderId="49" xfId="0" applyFont="1" applyBorder="1" applyAlignment="1">
      <alignment horizontal="center"/>
    </xf>
    <xf numFmtId="0" fontId="1" fillId="0" borderId="66" xfId="0" applyFont="1" applyBorder="1" applyAlignment="1">
      <alignment horizontal="center"/>
    </xf>
    <xf numFmtId="0" fontId="1" fillId="0" borderId="66" xfId="0" quotePrefix="1" applyFont="1" applyBorder="1" applyAlignment="1">
      <alignment horizontal="center"/>
    </xf>
    <xf numFmtId="0" fontId="1" fillId="0" borderId="61" xfId="0" quotePrefix="1" applyFont="1" applyBorder="1" applyAlignment="1">
      <alignment horizontal="center"/>
    </xf>
    <xf numFmtId="0" fontId="1" fillId="0" borderId="20" xfId="0" quotePrefix="1" applyFont="1" applyBorder="1" applyAlignment="1">
      <alignment horizontal="center"/>
    </xf>
    <xf numFmtId="0" fontId="0" fillId="0" borderId="42" xfId="0" applyBorder="1" applyAlignment="1">
      <alignment horizontal="centerContinuous"/>
    </xf>
    <xf numFmtId="0" fontId="6" fillId="0" borderId="40" xfId="0" applyFont="1" applyBorder="1"/>
    <xf numFmtId="3" fontId="6" fillId="0" borderId="41" xfId="0" applyNumberFormat="1" applyFont="1" applyBorder="1"/>
    <xf numFmtId="0" fontId="6" fillId="0" borderId="42" xfId="0" applyFont="1" applyBorder="1"/>
    <xf numFmtId="0" fontId="0" fillId="0" borderId="67" xfId="0" applyBorder="1"/>
    <xf numFmtId="0" fontId="0" fillId="0" borderId="64" xfId="0" applyBorder="1"/>
    <xf numFmtId="0" fontId="0" fillId="0" borderId="65" xfId="0" applyBorder="1"/>
    <xf numFmtId="3" fontId="0" fillId="0" borderId="68" xfId="0" applyNumberFormat="1" applyBorder="1"/>
    <xf numFmtId="0" fontId="0" fillId="0" borderId="69" xfId="0" applyBorder="1"/>
    <xf numFmtId="3" fontId="0" fillId="0" borderId="70" xfId="0" applyNumberFormat="1" applyBorder="1"/>
    <xf numFmtId="0" fontId="0" fillId="0" borderId="71" xfId="0" applyBorder="1"/>
    <xf numFmtId="0" fontId="0" fillId="0" borderId="73" xfId="0" applyBorder="1"/>
    <xf numFmtId="3" fontId="0" fillId="0" borderId="72" xfId="0" applyNumberFormat="1" applyBorder="1"/>
    <xf numFmtId="3" fontId="0" fillId="0" borderId="74" xfId="0" applyNumberFormat="1" applyBorder="1"/>
    <xf numFmtId="0" fontId="0" fillId="0" borderId="75" xfId="0" applyBorder="1"/>
    <xf numFmtId="0" fontId="6" fillId="0" borderId="40" xfId="0" applyFont="1" applyBorder="1" applyAlignment="1">
      <alignment horizontal="centerContinuous"/>
    </xf>
    <xf numFmtId="3" fontId="0" fillId="0" borderId="76" xfId="0" applyNumberFormat="1" applyBorder="1"/>
    <xf numFmtId="0" fontId="1" fillId="10" borderId="7" xfId="0" applyFont="1" applyFill="1" applyBorder="1" applyAlignment="1">
      <alignment horizontal="center"/>
    </xf>
    <xf numFmtId="0" fontId="1" fillId="4" borderId="33" xfId="0" quotePrefix="1" applyFont="1" applyFill="1" applyBorder="1" applyAlignment="1" applyProtection="1">
      <alignment horizontal="center"/>
      <protection locked="0"/>
    </xf>
    <xf numFmtId="0" fontId="1" fillId="0" borderId="33" xfId="0" quotePrefix="1" applyFont="1" applyBorder="1" applyAlignment="1" applyProtection="1">
      <alignment horizontal="center"/>
      <protection locked="0"/>
    </xf>
    <xf numFmtId="0" fontId="1" fillId="10" borderId="2" xfId="0" applyFont="1" applyFill="1" applyBorder="1" applyAlignment="1">
      <alignment horizontal="center"/>
    </xf>
    <xf numFmtId="0" fontId="0" fillId="0" borderId="48" xfId="0" applyBorder="1"/>
    <xf numFmtId="3" fontId="0" fillId="0" borderId="15" xfId="0" applyNumberFormat="1" applyBorder="1"/>
    <xf numFmtId="0" fontId="0" fillId="0" borderId="77" xfId="0" applyBorder="1"/>
    <xf numFmtId="0" fontId="0" fillId="0" borderId="78" xfId="0" applyBorder="1"/>
    <xf numFmtId="0" fontId="0" fillId="0" borderId="79" xfId="0" applyBorder="1"/>
    <xf numFmtId="0" fontId="0" fillId="0" borderId="80" xfId="0" applyBorder="1"/>
    <xf numFmtId="0" fontId="1" fillId="0" borderId="32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5" borderId="60" xfId="0" applyFont="1" applyFill="1" applyBorder="1" applyAlignment="1">
      <alignment horizontal="center" vertical="center" wrapText="1"/>
    </xf>
    <xf numFmtId="0" fontId="1" fillId="5" borderId="20" xfId="0" applyFont="1" applyFill="1" applyBorder="1" applyAlignment="1">
      <alignment horizontal="center" vertical="center" wrapText="1"/>
    </xf>
    <xf numFmtId="0" fontId="1" fillId="5" borderId="59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5" fillId="3" borderId="22" xfId="0" applyFont="1" applyFill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/>
    </xf>
    <xf numFmtId="0" fontId="1" fillId="5" borderId="58" xfId="0" applyFont="1" applyFill="1" applyBorder="1" applyAlignment="1">
      <alignment horizontal="center" vertical="center" wrapText="1"/>
    </xf>
    <xf numFmtId="0" fontId="1" fillId="5" borderId="18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Sabrina BOESPFLUG" id="{C54F4F7B-ECE5-49EF-B764-4E0242F0EF2A}" userId="S::sabrina.boespflug@ingerop.com::69ca34c8-0ab3-46aa-adf7-f7c86ef2dc31" providerId="AD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Z20" dT="2025-02-26T08:35:35.62" personId="{C54F4F7B-ECE5-49EF-B764-4E0242F0EF2A}" id="{BFFFB249-DE1A-4C07-BDD2-D6EFCB601149}">
    <text>Débit d’extraction max en cas d’anoxie : 20vol/h
Débit d’extraction normal : 6vol/h</text>
  </threadedComment>
  <threadedComment ref="AB20" dT="2025-02-26T08:35:35.62" personId="{C54F4F7B-ECE5-49EF-B764-4E0242F0EF2A}" id="{7A63C2AC-C3C3-45B2-8956-C0F468469FCB}">
    <text>Débit d’extraction max en cas d’anoxie : 20vol/h
Débit d’extraction normal : 6vol/h</text>
  </threadedComment>
  <threadedComment ref="AC20" dT="2025-02-26T08:35:35.62" personId="{C54F4F7B-ECE5-49EF-B764-4E0242F0EF2A}" id="{9A421E0C-EF7E-4434-A8EF-BF5A78F7AD63}">
    <text>Débit d’extraction max en cas d’anoxie : 20vol/h
Débit d’extraction normal : 6vol/h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N6" dT="2025-03-04T13:19:54.53" personId="{C54F4F7B-ECE5-49EF-B764-4E0242F0EF2A}" id="{0C134019-C76D-431F-AC0E-772225D998DC}">
    <text>Ajout de BDV sur le soufflage</text>
  </threadedComment>
  <threadedComment ref="O6" dT="2025-03-04T13:19:27.11" personId="{C54F4F7B-ECE5-49EF-B764-4E0242F0EF2A}" id="{A32BD47A-46D4-4E0D-A24E-9D694ADC4588}">
    <text>Suppression de la reprise</text>
  </threadedComment>
  <threadedComment ref="N8" dT="2025-03-04T13:20:00.20" personId="{C54F4F7B-ECE5-49EF-B764-4E0242F0EF2A}" id="{97525373-0006-43B0-91DA-5CC71202AD20}">
    <text xml:space="preserve">Ajout de BDV sur le soufflage
</text>
  </threadedComment>
  <threadedComment ref="O8" dT="2025-03-04T13:19:34.25" personId="{C54F4F7B-ECE5-49EF-B764-4E0242F0EF2A}" id="{C38B3038-4301-4EB9-8E7E-6DF437B2E938}">
    <text>Suppression de la reprise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2E5FA0-DB93-4598-97BD-784B68BF8FB4}">
  <dimension ref="A1:FX42"/>
  <sheetViews>
    <sheetView tabSelected="1" zoomScale="85" zoomScaleNormal="85" workbookViewId="0">
      <pane xSplit="3" topLeftCell="D1" activePane="topRight" state="frozen"/>
      <selection activeCell="A6" sqref="A6"/>
      <selection pane="topRight" activeCell="C40" sqref="C40"/>
    </sheetView>
  </sheetViews>
  <sheetFormatPr baseColWidth="10" defaultColWidth="30.85546875" defaultRowHeight="15" x14ac:dyDescent="0.25"/>
  <cols>
    <col min="1" max="1" width="7.28515625" customWidth="1"/>
    <col min="2" max="2" width="18.42578125" style="1" customWidth="1"/>
    <col min="3" max="3" width="37.28515625" customWidth="1"/>
    <col min="4" max="4" width="25.5703125" style="5" customWidth="1"/>
    <col min="5" max="5" width="11.140625" style="5" customWidth="1"/>
    <col min="6" max="6" width="12.28515625" style="2" customWidth="1"/>
    <col min="7" max="7" width="9.85546875" customWidth="1"/>
    <col min="8" max="8" width="16.28515625" customWidth="1"/>
    <col min="9" max="10" width="11.140625" customWidth="1"/>
    <col min="11" max="11" width="12.5703125" customWidth="1"/>
    <col min="12" max="12" width="10.85546875" customWidth="1"/>
    <col min="13" max="13" width="26.5703125" customWidth="1"/>
    <col min="14" max="15" width="11.85546875" customWidth="1"/>
    <col min="16" max="16" width="26.5703125" customWidth="1"/>
    <col min="17" max="20" width="12.28515625" customWidth="1"/>
    <col min="21" max="21" width="9.7109375" customWidth="1"/>
    <col min="22" max="22" width="13.42578125" customWidth="1"/>
    <col min="23" max="23" width="10.7109375" customWidth="1"/>
    <col min="24" max="25" width="13.85546875" style="3" customWidth="1"/>
    <col min="26" max="26" width="11.42578125" style="3" customWidth="1"/>
    <col min="27" max="27" width="9" style="133" customWidth="1"/>
    <col min="28" max="29" width="12.85546875" style="133" customWidth="1"/>
    <col min="30" max="30" width="23.85546875" style="133" bestFit="1" customWidth="1"/>
    <col min="31" max="67" width="15.7109375" customWidth="1"/>
    <col min="68" max="69" width="18.28515625" customWidth="1"/>
    <col min="70" max="72" width="15.7109375" customWidth="1"/>
    <col min="73" max="73" width="24.7109375" bestFit="1" customWidth="1"/>
    <col min="74" max="74" width="24.7109375" customWidth="1"/>
    <col min="75" max="77" width="15.7109375" customWidth="1"/>
    <col min="78" max="78" width="19" bestFit="1" customWidth="1"/>
    <col min="79" max="79" width="18.28515625" customWidth="1"/>
    <col min="80" max="89" width="15.7109375" customWidth="1"/>
    <col min="90" max="90" width="21" bestFit="1" customWidth="1"/>
    <col min="91" max="91" width="21" customWidth="1"/>
    <col min="92" max="100" width="15.7109375" customWidth="1"/>
    <col min="101" max="101" width="27.7109375" bestFit="1" customWidth="1"/>
    <col min="102" max="102" width="16.28515625" customWidth="1"/>
    <col min="103" max="103" width="17.85546875" customWidth="1"/>
    <col min="104" max="114" width="15.7109375" customWidth="1"/>
    <col min="115" max="115" width="24.42578125" bestFit="1" customWidth="1"/>
    <col min="116" max="116" width="24.42578125" customWidth="1"/>
    <col min="117" max="128" width="15.7109375" customWidth="1"/>
    <col min="129" max="129" width="25.28515625" bestFit="1" customWidth="1"/>
    <col min="130" max="130" width="13.5703125" customWidth="1"/>
    <col min="131" max="151" width="15.7109375" customWidth="1"/>
    <col min="152" max="152" width="18.7109375" bestFit="1" customWidth="1"/>
    <col min="153" max="154" width="18.7109375" customWidth="1"/>
    <col min="155" max="156" width="15.7109375" customWidth="1"/>
    <col min="157" max="157" width="18.7109375" customWidth="1"/>
    <col min="158" max="160" width="15.7109375" customWidth="1"/>
    <col min="161" max="161" width="18.7109375" customWidth="1"/>
    <col min="162" max="180" width="15.7109375" customWidth="1"/>
  </cols>
  <sheetData>
    <row r="1" spans="1:180" ht="29.25" customHeight="1" thickBot="1" x14ac:dyDescent="0.3">
      <c r="D1" s="2"/>
      <c r="E1" s="2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</row>
    <row r="2" spans="1:180" s="4" customFormat="1" ht="30.75" customHeight="1" thickBot="1" x14ac:dyDescent="0.3">
      <c r="B2" s="139" t="s">
        <v>0</v>
      </c>
      <c r="C2" s="140"/>
      <c r="D2" s="140"/>
      <c r="E2" s="140"/>
      <c r="F2" s="140"/>
      <c r="G2" s="140"/>
      <c r="H2" s="140"/>
      <c r="I2" s="140"/>
      <c r="J2" s="141"/>
      <c r="K2" s="151" t="s">
        <v>1</v>
      </c>
      <c r="L2" s="137"/>
      <c r="M2" s="137"/>
      <c r="N2" s="137"/>
      <c r="O2" s="137"/>
      <c r="P2" s="137"/>
      <c r="Q2" s="137"/>
      <c r="R2" s="137"/>
      <c r="S2" s="137"/>
      <c r="T2" s="137"/>
      <c r="U2" s="138"/>
      <c r="V2" s="134" t="s">
        <v>2</v>
      </c>
      <c r="W2" s="135"/>
      <c r="X2" s="135"/>
      <c r="Y2" s="135"/>
      <c r="Z2" s="135"/>
      <c r="AA2" s="135"/>
      <c r="AB2" s="135"/>
      <c r="AC2" s="135"/>
      <c r="AD2" s="136"/>
      <c r="AE2" s="156" t="s">
        <v>3</v>
      </c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8"/>
      <c r="BV2" s="158"/>
      <c r="BW2" s="157"/>
      <c r="BX2" s="157"/>
      <c r="BY2" s="157"/>
      <c r="BZ2" s="158"/>
      <c r="CA2" s="157"/>
      <c r="CB2" s="157"/>
      <c r="CC2" s="157"/>
      <c r="CD2" s="157"/>
      <c r="CE2" s="158"/>
      <c r="CF2" s="157"/>
      <c r="CG2" s="157"/>
      <c r="CH2" s="157"/>
      <c r="CI2" s="158"/>
      <c r="CJ2" s="157"/>
      <c r="CK2" s="157"/>
      <c r="CL2" s="158"/>
      <c r="CM2" s="158"/>
      <c r="CN2" s="157"/>
      <c r="CO2" s="157"/>
      <c r="CP2" s="158"/>
      <c r="CQ2" s="158"/>
      <c r="CR2" s="158"/>
      <c r="CS2" s="158"/>
      <c r="CT2" s="158"/>
      <c r="CU2" s="158"/>
      <c r="CV2" s="158"/>
      <c r="CW2" s="158"/>
      <c r="CX2" s="158"/>
      <c r="CY2" s="158"/>
      <c r="CZ2" s="158"/>
      <c r="DA2" s="158"/>
      <c r="DB2" s="158"/>
      <c r="DC2" s="158"/>
      <c r="DD2" s="157"/>
      <c r="DE2" s="157"/>
      <c r="DF2" s="158"/>
      <c r="DG2" s="158"/>
      <c r="DH2" s="157"/>
      <c r="DI2" s="157"/>
      <c r="DJ2" s="157"/>
      <c r="DK2" s="158"/>
      <c r="DL2" s="158"/>
      <c r="DM2" s="157"/>
      <c r="DN2" s="157"/>
      <c r="DO2" s="157"/>
      <c r="DP2" s="158"/>
      <c r="DQ2" s="157"/>
      <c r="DR2" s="157"/>
      <c r="DS2" s="158"/>
      <c r="DT2" s="158"/>
      <c r="DU2" s="158"/>
      <c r="DV2" s="158"/>
      <c r="DW2" s="158"/>
      <c r="DX2" s="158"/>
      <c r="DY2" s="158"/>
      <c r="DZ2" s="158"/>
      <c r="EA2" s="157"/>
      <c r="EB2" s="157"/>
      <c r="EC2" s="158"/>
      <c r="ED2" s="158"/>
      <c r="EE2" s="157"/>
      <c r="EF2" s="157"/>
      <c r="EG2" s="158"/>
      <c r="EH2" s="158"/>
      <c r="EI2" s="157"/>
      <c r="EJ2" s="157"/>
      <c r="EK2" s="158"/>
      <c r="EL2" s="158"/>
      <c r="EM2" s="158"/>
      <c r="EN2" s="158"/>
      <c r="EO2" s="158"/>
      <c r="EP2" s="158"/>
      <c r="EQ2" s="158"/>
      <c r="ER2" s="158"/>
      <c r="ES2" s="158"/>
      <c r="ET2" s="158"/>
      <c r="EU2" s="158"/>
      <c r="EV2" s="158"/>
      <c r="EW2" s="158"/>
      <c r="EX2" s="158"/>
      <c r="EY2" s="158"/>
      <c r="EZ2" s="158"/>
      <c r="FA2" s="158"/>
      <c r="FB2" s="158"/>
      <c r="FC2" s="158"/>
      <c r="FD2" s="158"/>
      <c r="FE2" s="158"/>
      <c r="FF2" s="158"/>
      <c r="FG2" s="157"/>
      <c r="FH2" s="157"/>
      <c r="FI2" s="158"/>
      <c r="FJ2" s="158"/>
      <c r="FK2" s="158"/>
      <c r="FL2" s="158"/>
      <c r="FM2" s="158"/>
      <c r="FN2" s="158"/>
      <c r="FO2" s="158"/>
      <c r="FP2" s="158"/>
      <c r="FQ2" s="158"/>
      <c r="FR2" s="158"/>
      <c r="FS2" s="158"/>
      <c r="FT2" s="158"/>
      <c r="FU2" s="158"/>
      <c r="FV2" s="157"/>
      <c r="FW2" s="157"/>
      <c r="FX2" s="157"/>
    </row>
    <row r="3" spans="1:180" s="7" customFormat="1" ht="39" customHeight="1" x14ac:dyDescent="0.25">
      <c r="B3" s="108" t="s">
        <v>4</v>
      </c>
      <c r="C3" s="90" t="s">
        <v>5</v>
      </c>
      <c r="D3" s="90" t="s">
        <v>6</v>
      </c>
      <c r="E3" s="90" t="s">
        <v>7</v>
      </c>
      <c r="F3" s="90" t="s">
        <v>8</v>
      </c>
      <c r="G3" s="90" t="s">
        <v>9</v>
      </c>
      <c r="H3" s="90" t="s">
        <v>10</v>
      </c>
      <c r="I3" s="90" t="s">
        <v>11</v>
      </c>
      <c r="J3" s="91" t="s">
        <v>12</v>
      </c>
      <c r="K3" s="152" t="s">
        <v>13</v>
      </c>
      <c r="L3" s="109" t="s">
        <v>14</v>
      </c>
      <c r="M3" s="109" t="s">
        <v>15</v>
      </c>
      <c r="N3" s="109" t="s">
        <v>16</v>
      </c>
      <c r="O3" s="109" t="s">
        <v>17</v>
      </c>
      <c r="P3" s="109" t="s">
        <v>18</v>
      </c>
      <c r="Q3" s="109" t="s">
        <v>19</v>
      </c>
      <c r="R3" s="109" t="s">
        <v>20</v>
      </c>
      <c r="S3" s="109" t="s">
        <v>21</v>
      </c>
      <c r="T3" s="109" t="s">
        <v>22</v>
      </c>
      <c r="U3" s="110" t="s">
        <v>23</v>
      </c>
      <c r="V3" s="126" t="s">
        <v>24</v>
      </c>
      <c r="W3" s="127" t="s">
        <v>25</v>
      </c>
      <c r="X3" s="128" t="s">
        <v>26</v>
      </c>
      <c r="Y3" s="128" t="s">
        <v>27</v>
      </c>
      <c r="Z3" s="129" t="s">
        <v>28</v>
      </c>
      <c r="AA3" s="127" t="s">
        <v>29</v>
      </c>
      <c r="AB3" s="127" t="s">
        <v>30</v>
      </c>
      <c r="AC3" s="127" t="s">
        <v>31</v>
      </c>
      <c r="AD3" s="130" t="s">
        <v>32</v>
      </c>
      <c r="AE3" s="111" t="s">
        <v>33</v>
      </c>
      <c r="AF3" s="9" t="s">
        <v>34</v>
      </c>
      <c r="AG3" s="10" t="s">
        <v>35</v>
      </c>
      <c r="AH3" s="11" t="s">
        <v>36</v>
      </c>
      <c r="AI3" s="11" t="s">
        <v>37</v>
      </c>
      <c r="AJ3" s="9" t="s">
        <v>38</v>
      </c>
      <c r="AK3" s="9" t="s">
        <v>34</v>
      </c>
      <c r="AL3" s="10" t="s">
        <v>35</v>
      </c>
      <c r="AM3" s="11" t="s">
        <v>39</v>
      </c>
      <c r="AN3" s="9" t="s">
        <v>40</v>
      </c>
      <c r="AO3" s="9" t="s">
        <v>34</v>
      </c>
      <c r="AP3" s="10" t="s">
        <v>35</v>
      </c>
      <c r="AQ3" s="11" t="s">
        <v>39</v>
      </c>
      <c r="AR3" s="9" t="s">
        <v>41</v>
      </c>
      <c r="AS3" s="9" t="s">
        <v>34</v>
      </c>
      <c r="AT3" s="9" t="s">
        <v>42</v>
      </c>
      <c r="AU3" s="9" t="s">
        <v>34</v>
      </c>
      <c r="AV3" s="10" t="s">
        <v>35</v>
      </c>
      <c r="AW3" s="11" t="s">
        <v>39</v>
      </c>
      <c r="AX3" s="9" t="s">
        <v>43</v>
      </c>
      <c r="AY3" s="9" t="s">
        <v>34</v>
      </c>
      <c r="AZ3" s="10" t="s">
        <v>35</v>
      </c>
      <c r="BA3" s="11" t="s">
        <v>36</v>
      </c>
      <c r="BB3" s="11" t="s">
        <v>44</v>
      </c>
      <c r="BC3" s="9" t="s">
        <v>45</v>
      </c>
      <c r="BD3" s="9" t="s">
        <v>34</v>
      </c>
      <c r="BE3" s="9" t="s">
        <v>46</v>
      </c>
      <c r="BF3" s="9" t="s">
        <v>34</v>
      </c>
      <c r="BG3" s="10" t="s">
        <v>35</v>
      </c>
      <c r="BH3" s="11" t="s">
        <v>39</v>
      </c>
      <c r="BI3" s="9" t="s">
        <v>47</v>
      </c>
      <c r="BJ3" s="9" t="s">
        <v>48</v>
      </c>
      <c r="BK3" s="9" t="s">
        <v>34</v>
      </c>
      <c r="BL3" s="9" t="s">
        <v>49</v>
      </c>
      <c r="BM3" s="9" t="s">
        <v>34</v>
      </c>
      <c r="BN3" s="10" t="s">
        <v>35</v>
      </c>
      <c r="BO3" s="11" t="s">
        <v>39</v>
      </c>
      <c r="BP3" s="9" t="s">
        <v>50</v>
      </c>
      <c r="BQ3" s="9" t="s">
        <v>34</v>
      </c>
      <c r="BR3" s="10" t="s">
        <v>35</v>
      </c>
      <c r="BS3" s="11" t="s">
        <v>36</v>
      </c>
      <c r="BT3" s="11" t="s">
        <v>37</v>
      </c>
      <c r="BU3" s="9" t="s">
        <v>51</v>
      </c>
      <c r="BV3" s="9" t="s">
        <v>34</v>
      </c>
      <c r="BW3" s="10" t="s">
        <v>35</v>
      </c>
      <c r="BX3" s="11" t="s">
        <v>36</v>
      </c>
      <c r="BY3" s="11" t="s">
        <v>37</v>
      </c>
      <c r="BZ3" s="9" t="s">
        <v>52</v>
      </c>
      <c r="CA3" s="9" t="s">
        <v>34</v>
      </c>
      <c r="CB3" s="10" t="s">
        <v>35</v>
      </c>
      <c r="CC3" s="11" t="s">
        <v>36</v>
      </c>
      <c r="CD3" s="11" t="s">
        <v>37</v>
      </c>
      <c r="CE3" s="9" t="s">
        <v>53</v>
      </c>
      <c r="CF3" s="10" t="s">
        <v>35</v>
      </c>
      <c r="CG3" s="11" t="s">
        <v>36</v>
      </c>
      <c r="CH3" s="11" t="s">
        <v>44</v>
      </c>
      <c r="CI3" s="9" t="s">
        <v>54</v>
      </c>
      <c r="CJ3" s="10" t="s">
        <v>35</v>
      </c>
      <c r="CK3" s="11" t="s">
        <v>39</v>
      </c>
      <c r="CL3" s="9" t="s">
        <v>55</v>
      </c>
      <c r="CM3" s="9" t="s">
        <v>56</v>
      </c>
      <c r="CN3" s="10" t="s">
        <v>35</v>
      </c>
      <c r="CO3" s="11" t="s">
        <v>39</v>
      </c>
      <c r="CP3" s="9" t="s">
        <v>57</v>
      </c>
      <c r="CQ3" s="9" t="s">
        <v>56</v>
      </c>
      <c r="CR3" s="9" t="s">
        <v>58</v>
      </c>
      <c r="CS3" s="9" t="s">
        <v>56</v>
      </c>
      <c r="CT3" s="9" t="s">
        <v>59</v>
      </c>
      <c r="CU3" s="9" t="s">
        <v>60</v>
      </c>
      <c r="CV3" s="9" t="s">
        <v>56</v>
      </c>
      <c r="CW3" s="9" t="s">
        <v>61</v>
      </c>
      <c r="CX3" s="11" t="s">
        <v>36</v>
      </c>
      <c r="CY3" s="11" t="s">
        <v>37</v>
      </c>
      <c r="CZ3" s="9" t="s">
        <v>62</v>
      </c>
      <c r="DA3" s="9" t="s">
        <v>63</v>
      </c>
      <c r="DB3" s="9" t="s">
        <v>64</v>
      </c>
      <c r="DC3" s="9" t="s">
        <v>63</v>
      </c>
      <c r="DD3" s="10" t="s">
        <v>35</v>
      </c>
      <c r="DE3" s="11" t="s">
        <v>36</v>
      </c>
      <c r="DF3" s="9" t="s">
        <v>65</v>
      </c>
      <c r="DG3" s="9" t="s">
        <v>63</v>
      </c>
      <c r="DH3" s="10" t="s">
        <v>35</v>
      </c>
      <c r="DI3" s="11" t="s">
        <v>36</v>
      </c>
      <c r="DJ3" s="11" t="s">
        <v>37</v>
      </c>
      <c r="DK3" s="9" t="s">
        <v>66</v>
      </c>
      <c r="DL3" s="9" t="s">
        <v>63</v>
      </c>
      <c r="DM3" s="10" t="s">
        <v>35</v>
      </c>
      <c r="DN3" s="11" t="s">
        <v>36</v>
      </c>
      <c r="DO3" s="11" t="s">
        <v>37</v>
      </c>
      <c r="DP3" s="9" t="s">
        <v>67</v>
      </c>
      <c r="DQ3" s="10" t="s">
        <v>35</v>
      </c>
      <c r="DR3" s="11" t="s">
        <v>39</v>
      </c>
      <c r="DS3" s="9" t="s">
        <v>68</v>
      </c>
      <c r="DT3" s="9" t="s">
        <v>63</v>
      </c>
      <c r="DU3" s="9" t="s">
        <v>69</v>
      </c>
      <c r="DV3" s="9" t="s">
        <v>63</v>
      </c>
      <c r="DW3" s="9" t="s">
        <v>70</v>
      </c>
      <c r="DX3" s="9" t="s">
        <v>63</v>
      </c>
      <c r="DY3" s="9" t="s">
        <v>71</v>
      </c>
      <c r="DZ3" s="9" t="s">
        <v>63</v>
      </c>
      <c r="EA3" s="10" t="s">
        <v>35</v>
      </c>
      <c r="EB3" s="11" t="s">
        <v>39</v>
      </c>
      <c r="EC3" s="9" t="s">
        <v>72</v>
      </c>
      <c r="ED3" s="9" t="s">
        <v>63</v>
      </c>
      <c r="EE3" s="10" t="s">
        <v>35</v>
      </c>
      <c r="EF3" s="11" t="s">
        <v>39</v>
      </c>
      <c r="EG3" s="9" t="s">
        <v>73</v>
      </c>
      <c r="EH3" s="9" t="s">
        <v>63</v>
      </c>
      <c r="EI3" s="10" t="s">
        <v>35</v>
      </c>
      <c r="EJ3" s="11" t="s">
        <v>39</v>
      </c>
      <c r="EK3" s="9" t="s">
        <v>74</v>
      </c>
      <c r="EL3" s="9" t="s">
        <v>63</v>
      </c>
      <c r="EM3" s="9" t="s">
        <v>75</v>
      </c>
      <c r="EN3" s="9" t="s">
        <v>76</v>
      </c>
      <c r="EO3" s="9" t="s">
        <v>63</v>
      </c>
      <c r="EP3" s="9" t="s">
        <v>77</v>
      </c>
      <c r="EQ3" s="9" t="s">
        <v>78</v>
      </c>
      <c r="ER3" s="9" t="s">
        <v>68</v>
      </c>
      <c r="ES3" s="9" t="s">
        <v>63</v>
      </c>
      <c r="ET3" s="9" t="s">
        <v>79</v>
      </c>
      <c r="EU3" s="9" t="s">
        <v>63</v>
      </c>
      <c r="EV3" s="9" t="s">
        <v>80</v>
      </c>
      <c r="EW3" s="11" t="s">
        <v>36</v>
      </c>
      <c r="EX3" s="11" t="s">
        <v>37</v>
      </c>
      <c r="EY3" s="9" t="s">
        <v>81</v>
      </c>
      <c r="EZ3" s="11" t="s">
        <v>39</v>
      </c>
      <c r="FA3" s="11" t="s">
        <v>37</v>
      </c>
      <c r="FB3" s="9" t="s">
        <v>82</v>
      </c>
      <c r="FC3" s="9" t="s">
        <v>83</v>
      </c>
      <c r="FD3" s="11" t="s">
        <v>39</v>
      </c>
      <c r="FE3" s="11" t="s">
        <v>37</v>
      </c>
      <c r="FF3" s="9" t="s">
        <v>84</v>
      </c>
      <c r="FG3" s="10" t="s">
        <v>35</v>
      </c>
      <c r="FH3" s="11" t="s">
        <v>39</v>
      </c>
      <c r="FI3" s="9" t="s">
        <v>85</v>
      </c>
      <c r="FJ3" s="9" t="s">
        <v>86</v>
      </c>
      <c r="FK3" s="9" t="s">
        <v>34</v>
      </c>
      <c r="FL3" s="9" t="s">
        <v>87</v>
      </c>
      <c r="FM3" s="9" t="s">
        <v>34</v>
      </c>
      <c r="FN3" s="9" t="s">
        <v>88</v>
      </c>
      <c r="FO3" s="9" t="s">
        <v>89</v>
      </c>
      <c r="FP3" s="9" t="s">
        <v>90</v>
      </c>
      <c r="FQ3" s="9" t="s">
        <v>91</v>
      </c>
      <c r="FR3" s="9" t="s">
        <v>34</v>
      </c>
      <c r="FS3" s="9" t="s">
        <v>92</v>
      </c>
      <c r="FT3" s="9" t="s">
        <v>34</v>
      </c>
      <c r="FU3" s="9" t="s">
        <v>93</v>
      </c>
      <c r="FV3" s="10" t="s">
        <v>35</v>
      </c>
      <c r="FW3" s="11" t="s">
        <v>36</v>
      </c>
      <c r="FX3" s="11" t="s">
        <v>44</v>
      </c>
    </row>
    <row r="4" spans="1:180" s="7" customFormat="1" ht="13.5" thickBot="1" x14ac:dyDescent="0.3">
      <c r="B4" s="107"/>
      <c r="C4" s="93"/>
      <c r="D4" s="93"/>
      <c r="E4" s="93"/>
      <c r="F4" s="93" t="s">
        <v>94</v>
      </c>
      <c r="G4" s="93" t="s">
        <v>95</v>
      </c>
      <c r="H4" s="93" t="s">
        <v>96</v>
      </c>
      <c r="I4" s="93"/>
      <c r="J4" s="94"/>
      <c r="K4" s="153"/>
      <c r="L4" s="154"/>
      <c r="M4" s="154"/>
      <c r="N4" s="154" t="s">
        <v>97</v>
      </c>
      <c r="O4" s="154" t="s">
        <v>98</v>
      </c>
      <c r="P4" s="154"/>
      <c r="Q4" s="154" t="s">
        <v>97</v>
      </c>
      <c r="R4" s="154" t="s">
        <v>98</v>
      </c>
      <c r="S4" s="154" t="s">
        <v>98</v>
      </c>
      <c r="T4" s="154" t="s">
        <v>98</v>
      </c>
      <c r="U4" s="155" t="s">
        <v>98</v>
      </c>
      <c r="V4" s="143"/>
      <c r="W4" s="144"/>
      <c r="X4" s="145" t="s">
        <v>99</v>
      </c>
      <c r="Y4" s="145" t="s">
        <v>99</v>
      </c>
      <c r="Z4" s="146" t="s">
        <v>99</v>
      </c>
      <c r="AA4" s="144" t="s">
        <v>100</v>
      </c>
      <c r="AB4" s="144" t="s">
        <v>99</v>
      </c>
      <c r="AC4" s="144" t="s">
        <v>99</v>
      </c>
      <c r="AD4" s="147"/>
      <c r="AE4" s="112"/>
      <c r="AF4" s="8" t="s">
        <v>98</v>
      </c>
      <c r="AG4" s="8"/>
      <c r="AH4" s="8"/>
      <c r="AI4" s="8"/>
      <c r="AJ4" s="8"/>
      <c r="AK4" s="8" t="s">
        <v>98</v>
      </c>
      <c r="AL4" s="8"/>
      <c r="AM4" s="8"/>
      <c r="AN4" s="8"/>
      <c r="AO4" s="8" t="s">
        <v>98</v>
      </c>
      <c r="AP4" s="8"/>
      <c r="AQ4" s="8"/>
      <c r="AR4" s="8"/>
      <c r="AS4" s="8" t="s">
        <v>98</v>
      </c>
      <c r="AT4" s="8"/>
      <c r="AU4" s="8" t="s">
        <v>98</v>
      </c>
      <c r="AV4" s="8"/>
      <c r="AW4" s="8"/>
      <c r="AX4" s="8"/>
      <c r="AY4" s="8" t="s">
        <v>98</v>
      </c>
      <c r="AZ4" s="8"/>
      <c r="BA4" s="8"/>
      <c r="BB4" s="8"/>
      <c r="BC4" s="8"/>
      <c r="BD4" s="8" t="s">
        <v>98</v>
      </c>
      <c r="BE4" s="8"/>
      <c r="BF4" s="8" t="s">
        <v>98</v>
      </c>
      <c r="BG4" s="8"/>
      <c r="BH4" s="8"/>
      <c r="BI4" s="8"/>
      <c r="BJ4" s="8"/>
      <c r="BK4" s="8" t="s">
        <v>98</v>
      </c>
      <c r="BL4" s="8"/>
      <c r="BM4" s="8" t="s">
        <v>98</v>
      </c>
      <c r="BN4" s="8"/>
      <c r="BO4" s="8"/>
      <c r="BP4" s="8"/>
      <c r="BQ4" s="8" t="s">
        <v>98</v>
      </c>
      <c r="BR4" s="8"/>
      <c r="BS4" s="8"/>
      <c r="BT4" s="8"/>
      <c r="BU4" s="8"/>
      <c r="BV4" s="8" t="s">
        <v>98</v>
      </c>
      <c r="BW4" s="8"/>
      <c r="BX4" s="8"/>
      <c r="BY4" s="8"/>
      <c r="BZ4" s="8"/>
      <c r="CA4" s="8" t="s">
        <v>98</v>
      </c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 t="s">
        <v>98</v>
      </c>
      <c r="CN4" s="8"/>
      <c r="CO4" s="8"/>
      <c r="CP4" s="8"/>
      <c r="CQ4" s="8" t="s">
        <v>98</v>
      </c>
      <c r="CR4" s="8"/>
      <c r="CS4" s="8" t="s">
        <v>98</v>
      </c>
      <c r="CT4" s="8"/>
      <c r="CU4" s="8"/>
      <c r="CV4" s="8" t="s">
        <v>98</v>
      </c>
      <c r="CW4" s="8"/>
      <c r="CX4" s="8"/>
      <c r="CY4" s="8"/>
      <c r="CZ4" s="8"/>
      <c r="DA4" s="8" t="s">
        <v>98</v>
      </c>
      <c r="DB4" s="8"/>
      <c r="DC4" s="8" t="s">
        <v>98</v>
      </c>
      <c r="DD4" s="8"/>
      <c r="DE4" s="8"/>
      <c r="DF4" s="8"/>
      <c r="DH4" s="8"/>
      <c r="DI4" s="8"/>
      <c r="DJ4" s="8"/>
      <c r="DK4" s="8"/>
      <c r="DL4" s="8" t="s">
        <v>98</v>
      </c>
      <c r="DM4" s="8"/>
      <c r="DN4" s="8"/>
      <c r="DO4" s="8"/>
      <c r="DP4" s="8"/>
      <c r="DQ4" s="8"/>
      <c r="DR4" s="8"/>
      <c r="DS4" s="8"/>
      <c r="DT4" s="8" t="s">
        <v>98</v>
      </c>
      <c r="DU4" s="8"/>
      <c r="DV4" s="8" t="s">
        <v>98</v>
      </c>
      <c r="DW4" s="8"/>
      <c r="DX4" s="8" t="s">
        <v>98</v>
      </c>
      <c r="DY4" s="8"/>
      <c r="DZ4" s="8" t="s">
        <v>98</v>
      </c>
      <c r="EA4" s="8"/>
      <c r="EB4" s="8"/>
      <c r="EC4" s="8"/>
      <c r="ED4" s="8" t="s">
        <v>98</v>
      </c>
      <c r="EE4" s="8"/>
      <c r="EF4" s="8"/>
      <c r="EG4" s="8"/>
      <c r="EH4" s="8" t="s">
        <v>98</v>
      </c>
      <c r="EI4" s="8"/>
      <c r="EJ4" s="8"/>
      <c r="EK4" s="8"/>
      <c r="EL4" s="8" t="s">
        <v>98</v>
      </c>
      <c r="EM4" s="8"/>
      <c r="EN4" s="8"/>
      <c r="EO4" s="8" t="s">
        <v>98</v>
      </c>
      <c r="EP4" s="8"/>
      <c r="EQ4" s="8"/>
      <c r="ER4" s="8"/>
      <c r="ES4" s="8" t="s">
        <v>98</v>
      </c>
      <c r="ET4" s="8"/>
      <c r="EU4" s="8" t="s">
        <v>98</v>
      </c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 t="s">
        <v>98</v>
      </c>
      <c r="FL4" s="8"/>
      <c r="FM4" s="8" t="s">
        <v>98</v>
      </c>
      <c r="FN4" s="8"/>
      <c r="FO4" s="8"/>
      <c r="FP4" s="8"/>
      <c r="FQ4" s="8" t="s">
        <v>101</v>
      </c>
      <c r="FR4" s="8" t="s">
        <v>98</v>
      </c>
      <c r="FS4" s="8" t="s">
        <v>101</v>
      </c>
      <c r="FT4" s="8" t="s">
        <v>98</v>
      </c>
      <c r="FU4" s="8"/>
      <c r="FV4" s="8"/>
      <c r="FW4" s="8"/>
      <c r="FX4" s="8"/>
    </row>
    <row r="5" spans="1:180" s="2" customFormat="1" ht="12.75" x14ac:dyDescent="0.2">
      <c r="B5" s="113" t="s">
        <v>102</v>
      </c>
      <c r="C5" s="101" t="s">
        <v>103</v>
      </c>
      <c r="D5" s="100" t="s">
        <v>104</v>
      </c>
      <c r="E5" s="102" t="s">
        <v>105</v>
      </c>
      <c r="F5" s="103">
        <v>16.3</v>
      </c>
      <c r="G5" s="104">
        <v>2.7</v>
      </c>
      <c r="H5" s="105">
        <f t="shared" ref="H5:H37" si="0">G5*F5</f>
        <v>44.010000000000005</v>
      </c>
      <c r="I5" s="106">
        <v>1</v>
      </c>
      <c r="J5" s="122" t="s">
        <v>106</v>
      </c>
      <c r="K5" s="148" t="s">
        <v>107</v>
      </c>
      <c r="L5" s="104" t="s">
        <v>108</v>
      </c>
      <c r="M5" s="104" t="s">
        <v>109</v>
      </c>
      <c r="N5" s="104">
        <v>22</v>
      </c>
      <c r="O5" s="104">
        <f>F5*40</f>
        <v>652</v>
      </c>
      <c r="P5" s="104" t="s">
        <v>109</v>
      </c>
      <c r="Q5" s="149">
        <v>22</v>
      </c>
      <c r="R5" s="150">
        <f>F5*12</f>
        <v>195.60000000000002</v>
      </c>
      <c r="S5" s="149">
        <f>I5*80</f>
        <v>80</v>
      </c>
      <c r="T5" s="149">
        <f t="shared" ref="T5:T32" si="1">SUM(AE5*AF5,AJ5*AK5,AN5*AO5,AR5*AS5,AT5*AU5,AX5*AY5,BC5*BD5,BE5*BF5,BJ5*BK5,BL5*BM5,BP5*BQ5,BU5*BV5,BZ5*CA5,CL5*CM5,CP5*CQ5,CR5*CS5,CU5*CV5,CZ5*DA5,DB5*DC5,DF5*DG5,DK5*DL5,DS5*DT5,DU5*DV5,DW5*DX5,DY5*DZ5,EC5*ED5,EG5*EH5,EK5*EL5,EN5*EO5,ER5*ES5,ET5*EU5,FJ5*FK5,FL5*FM5,FQ5*FR5,FS5*FT5)</f>
        <v>700</v>
      </c>
      <c r="U5" s="150">
        <f>SUM(R5:T5)</f>
        <v>975.6</v>
      </c>
      <c r="V5" s="149" t="s">
        <v>110</v>
      </c>
      <c r="W5" s="149" t="s">
        <v>111</v>
      </c>
      <c r="X5" s="149">
        <f>ROUNDUP(IF($J5="+",($AB5+$H5*0.5),IF($J5="++",($AB5+$H5*1),IF($J5="+++",($AB5+$H5*1.5),IF($J5="-",($AB5-$H5*0.5),IF($J5="--",($AB5-$H5*1),IF($J5="---",($AB5-$H5*1.5),$AB5)))))),-1)</f>
        <v>1350</v>
      </c>
      <c r="Y5" s="149">
        <f>ROUNDUP(IF($J5="+",($AC5+$H5*0.5),IF($J5="++",($AC5+$H5*1),IF($J5="+++",($AC5+$H5*1.5),IF($J5="-",($AC5-$H5*0.5),IF($J5="--",($AC5-$H5*1),IF($J5="---",($AC5-$H5*1.5),$AC5)))))),-1)</f>
        <v>90</v>
      </c>
      <c r="Z5" s="149">
        <v>0</v>
      </c>
      <c r="AA5" s="149"/>
      <c r="AB5" s="149">
        <f t="shared" ref="AB5:AB17" si="2">ROUNDUP(SUM(AE5*AH5,AJ5*AM5,AN5*AQ5,AT5*AW5,AX5*BA5,BE5*BH5,BL5*BO5,BP5*BS5,BU5*BX5,BZ5*CC5,CE5*CG5,CI5*CK5,CL5*CO5,DB5*DE5,DF5*DI5,DK5*DN5,DP5*DR5,DY5*EB5,EC5*EF5,EG5*EJ5,CW5*CX5,EV5*EW5,EY5*EZ5,FC5*FD5,FH5),-1)</f>
        <v>1370</v>
      </c>
      <c r="AC5" s="149">
        <f>ROUNDUP(SUM(AE5*AI5,AJ5*AM5,AN5*AQ5,AT5*AW5,AX5*BB5,BE5*BH5,BL5*BO5,BP5*BT5,BU5*BY5,BZ5*CD5,CE5*CH5,CI5*CK5,CL5*CO5,DB5*DE5,DF5*DJ5,DK5*DN5,DP5*DR5,DY5*EB5,EC5*EF5,EG5*EJ5,CW5*CY5,EV5*EX5,EY5*FA5,FC5*FE5,FH5),-1)</f>
        <v>110</v>
      </c>
      <c r="AD5" s="142" t="s">
        <v>112</v>
      </c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  <c r="DW5" s="22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  <c r="EM5" s="22"/>
      <c r="EN5" s="22"/>
      <c r="EO5" s="22"/>
      <c r="EP5" s="22"/>
      <c r="EQ5" s="22"/>
      <c r="ER5" s="22">
        <v>1</v>
      </c>
      <c r="ES5" s="22">
        <v>500</v>
      </c>
      <c r="ET5" s="22"/>
      <c r="EU5" s="22"/>
      <c r="EV5" s="22"/>
      <c r="EW5" s="22"/>
      <c r="EX5" s="22"/>
      <c r="EY5" s="22"/>
      <c r="EZ5" s="22"/>
      <c r="FA5" s="22"/>
      <c r="FB5" s="22"/>
      <c r="FC5" s="22">
        <v>1</v>
      </c>
      <c r="FD5" s="22">
        <f>1050*1.3</f>
        <v>1365</v>
      </c>
      <c r="FE5" s="22">
        <v>100</v>
      </c>
      <c r="FF5" s="22">
        <v>1</v>
      </c>
      <c r="FG5" s="22" t="s">
        <v>113</v>
      </c>
      <c r="FH5" s="22">
        <v>4</v>
      </c>
      <c r="FI5" s="22">
        <v>1</v>
      </c>
      <c r="FJ5" s="22">
        <v>1</v>
      </c>
      <c r="FK5" s="22">
        <v>100</v>
      </c>
      <c r="FL5" s="22">
        <v>1</v>
      </c>
      <c r="FM5" s="22">
        <v>100</v>
      </c>
      <c r="FN5" s="22">
        <v>1</v>
      </c>
      <c r="FO5" s="22">
        <v>1</v>
      </c>
      <c r="FP5" s="22">
        <v>1</v>
      </c>
      <c r="FQ5" s="22"/>
      <c r="FR5" s="22"/>
      <c r="FS5" s="22"/>
      <c r="FT5" s="22"/>
      <c r="FU5" s="22"/>
      <c r="FV5" s="22"/>
      <c r="FW5" s="22"/>
      <c r="FX5" s="22"/>
    </row>
    <row r="6" spans="1:180" s="23" customFormat="1" ht="12.75" x14ac:dyDescent="0.2">
      <c r="A6" s="2"/>
      <c r="B6" s="114" t="s">
        <v>114</v>
      </c>
      <c r="C6" s="25" t="s">
        <v>115</v>
      </c>
      <c r="D6" s="24" t="s">
        <v>104</v>
      </c>
      <c r="E6" s="26" t="s">
        <v>105</v>
      </c>
      <c r="F6" s="45">
        <v>59.33</v>
      </c>
      <c r="G6" s="27">
        <v>2.7</v>
      </c>
      <c r="H6" s="28">
        <f t="shared" si="0"/>
        <v>160.191</v>
      </c>
      <c r="I6" s="52" t="s">
        <v>106</v>
      </c>
      <c r="J6" s="115" t="s">
        <v>116</v>
      </c>
      <c r="K6" s="29"/>
      <c r="L6" s="27" t="s">
        <v>108</v>
      </c>
      <c r="M6" s="27" t="s">
        <v>109</v>
      </c>
      <c r="N6" s="27">
        <v>22</v>
      </c>
      <c r="O6" s="45">
        <f>F6*40</f>
        <v>2373.1999999999998</v>
      </c>
      <c r="P6" s="27" t="s">
        <v>109</v>
      </c>
      <c r="Q6" s="50" t="s">
        <v>116</v>
      </c>
      <c r="R6" s="60" t="s">
        <v>106</v>
      </c>
      <c r="S6" s="55" t="s">
        <v>106</v>
      </c>
      <c r="T6" s="50">
        <f t="shared" si="1"/>
        <v>0</v>
      </c>
      <c r="U6" s="58">
        <f>SUM(R6:T6)</f>
        <v>0</v>
      </c>
      <c r="V6" s="55" t="s">
        <v>110</v>
      </c>
      <c r="W6" s="55" t="s">
        <v>117</v>
      </c>
      <c r="X6" s="55">
        <f>ROUNDUP(AA6*H6,-1)</f>
        <v>170</v>
      </c>
      <c r="Y6" s="55">
        <f>X6</f>
        <v>170</v>
      </c>
      <c r="Z6" s="55">
        <f>ROUNDUP(IF($J6="+",($X6-$H6*0.5),IF($J6="++",($X6-$H6*1),IF($J6="+++",($X6-$H6*1.5),IF($J6="-",($X6+$H6*0.5),IF($J6="--",($X6+$H6*1),IF($J6="---",($X6+$H6*1.5),$X6)))))),-1)</f>
        <v>170</v>
      </c>
      <c r="AA6" s="55">
        <v>1</v>
      </c>
      <c r="AB6" s="55">
        <f t="shared" si="2"/>
        <v>0</v>
      </c>
      <c r="AC6" s="55">
        <v>0</v>
      </c>
      <c r="AD6" s="32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3"/>
      <c r="AU6" s="33"/>
      <c r="AV6" s="33"/>
      <c r="AW6" s="33"/>
      <c r="AX6" s="33"/>
      <c r="AY6" s="33"/>
      <c r="AZ6" s="33"/>
      <c r="BA6" s="33"/>
      <c r="BB6" s="33"/>
      <c r="BC6" s="33"/>
      <c r="BD6" s="33"/>
      <c r="BE6" s="33"/>
      <c r="BF6" s="33"/>
      <c r="BG6" s="33"/>
      <c r="BH6" s="33"/>
      <c r="BI6" s="33"/>
      <c r="BJ6" s="33"/>
      <c r="BK6" s="33"/>
      <c r="BL6" s="33"/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A6" s="33"/>
      <c r="CB6" s="33"/>
      <c r="CC6" s="33"/>
      <c r="CD6" s="33"/>
      <c r="CE6" s="33"/>
      <c r="CF6" s="33"/>
      <c r="CG6" s="33"/>
      <c r="CH6" s="33"/>
      <c r="CI6" s="33"/>
      <c r="CJ6" s="33"/>
      <c r="CK6" s="33"/>
      <c r="CL6" s="33"/>
      <c r="CM6" s="33"/>
      <c r="CN6" s="33"/>
      <c r="CO6" s="33"/>
      <c r="CP6" s="33"/>
      <c r="CQ6" s="33"/>
      <c r="CR6" s="33"/>
      <c r="CS6" s="33"/>
      <c r="CT6" s="33"/>
      <c r="CU6" s="33"/>
      <c r="CV6" s="33"/>
      <c r="CW6" s="33"/>
      <c r="CX6" s="33"/>
      <c r="CY6" s="33"/>
      <c r="CZ6" s="33"/>
      <c r="DA6" s="33"/>
      <c r="DB6" s="33"/>
      <c r="DC6" s="33"/>
      <c r="DD6" s="33"/>
      <c r="DE6" s="33"/>
      <c r="DF6" s="33"/>
      <c r="DG6" s="33"/>
      <c r="DH6" s="33"/>
      <c r="DI6" s="33"/>
      <c r="DJ6" s="33"/>
      <c r="DK6" s="33"/>
      <c r="DL6" s="33"/>
      <c r="DM6" s="33"/>
      <c r="DN6" s="33"/>
      <c r="DO6" s="33"/>
      <c r="DP6" s="33"/>
      <c r="DQ6" s="33"/>
      <c r="DR6" s="33"/>
      <c r="DS6" s="33"/>
      <c r="DT6" s="33"/>
      <c r="DU6" s="33"/>
      <c r="DV6" s="33"/>
      <c r="DW6" s="33"/>
      <c r="DX6" s="33"/>
      <c r="DY6" s="33"/>
      <c r="DZ6" s="33"/>
      <c r="EA6" s="33"/>
      <c r="EB6" s="33"/>
      <c r="EC6" s="33"/>
      <c r="ED6" s="33"/>
      <c r="EE6" s="33"/>
      <c r="EF6" s="33"/>
      <c r="EG6" s="33"/>
      <c r="EH6" s="33"/>
      <c r="EI6" s="33"/>
      <c r="EJ6" s="33"/>
      <c r="EK6" s="33"/>
      <c r="EL6" s="33"/>
      <c r="EM6" s="33"/>
      <c r="EN6" s="33"/>
      <c r="EO6" s="33"/>
      <c r="EP6" s="33"/>
      <c r="EQ6" s="33"/>
      <c r="ER6" s="33"/>
      <c r="ES6" s="33"/>
      <c r="ET6" s="33"/>
      <c r="EU6" s="33"/>
      <c r="EV6" s="33"/>
      <c r="EW6" s="33"/>
      <c r="EX6" s="33"/>
      <c r="EY6" s="33"/>
      <c r="EZ6" s="33"/>
      <c r="FA6" s="33"/>
      <c r="FB6" s="33"/>
      <c r="FC6" s="33"/>
      <c r="FD6" s="33"/>
      <c r="FE6" s="33"/>
      <c r="FF6" s="33"/>
      <c r="FG6" s="33"/>
      <c r="FH6" s="33"/>
      <c r="FI6" s="33"/>
      <c r="FJ6" s="33"/>
      <c r="FK6" s="33"/>
      <c r="FL6" s="33"/>
      <c r="FM6" s="33"/>
      <c r="FN6" s="33"/>
      <c r="FO6" s="33"/>
      <c r="FP6" s="33"/>
      <c r="FQ6" s="33"/>
      <c r="FR6" s="33"/>
      <c r="FS6" s="33"/>
      <c r="FT6" s="33"/>
      <c r="FU6" s="33"/>
      <c r="FV6" s="33"/>
      <c r="FW6" s="33"/>
      <c r="FX6" s="33"/>
    </row>
    <row r="7" spans="1:180" s="2" customFormat="1" ht="12.75" x14ac:dyDescent="0.2">
      <c r="B7" s="116" t="s">
        <v>118</v>
      </c>
      <c r="C7" s="13" t="s">
        <v>119</v>
      </c>
      <c r="D7" s="12" t="s">
        <v>104</v>
      </c>
      <c r="E7" s="14" t="s">
        <v>105</v>
      </c>
      <c r="F7" s="44">
        <v>107.14</v>
      </c>
      <c r="G7" s="15">
        <v>2.7</v>
      </c>
      <c r="H7" s="16">
        <f t="shared" si="0"/>
        <v>289.27800000000002</v>
      </c>
      <c r="I7" s="17">
        <v>5</v>
      </c>
      <c r="J7" s="121" t="s">
        <v>106</v>
      </c>
      <c r="K7" s="18" t="s">
        <v>107</v>
      </c>
      <c r="L7" s="15" t="s">
        <v>108</v>
      </c>
      <c r="M7" s="15" t="s">
        <v>109</v>
      </c>
      <c r="N7" s="15">
        <v>22</v>
      </c>
      <c r="O7" s="44">
        <f>45*F7</f>
        <v>4821.3</v>
      </c>
      <c r="P7" s="15" t="s">
        <v>109</v>
      </c>
      <c r="Q7" s="49">
        <v>22</v>
      </c>
      <c r="R7" s="57">
        <f>F7*12</f>
        <v>1285.68</v>
      </c>
      <c r="S7" s="49">
        <f>I7*80</f>
        <v>400</v>
      </c>
      <c r="T7" s="49">
        <f t="shared" si="1"/>
        <v>2000</v>
      </c>
      <c r="U7" s="57">
        <f t="shared" ref="U7:U35" si="3">SUM(R7:T7)</f>
        <v>3685.6800000000003</v>
      </c>
      <c r="V7" s="49" t="s">
        <v>110</v>
      </c>
      <c r="W7" s="49" t="s">
        <v>111</v>
      </c>
      <c r="X7" s="49">
        <f>ROUNDUP(IF($J7="+",($AB7+$H7*0.5),IF($J7="++",($AB7+$H7*1),IF($J7="+++",($AB7+$H7*1.5),IF($J7="-",($AB7-$H7*0.5),IF($J7="--",($AB7-$H7*1),IF($J7="---",($AB7-$H7*1.5),$AB7)))))),-1)</f>
        <v>5330</v>
      </c>
      <c r="Y7" s="49">
        <f>ROUNDUP(IF($J7="+",($AC7+$H7*0.5),IF($J7="++",($AC7+$H7*1),IF($J7="+++",($AC7+$H7*1.5),IF($J7="-",($AC7-$H7*0.5),IF($J7="--",($AC7-$H7*1),IF($J7="---",($AC7-$H7*1.5),$AC7)))))),-1)</f>
        <v>270</v>
      </c>
      <c r="Z7" s="49">
        <v>0</v>
      </c>
      <c r="AA7" s="49"/>
      <c r="AB7" s="49">
        <f t="shared" si="2"/>
        <v>5470</v>
      </c>
      <c r="AC7" s="49">
        <f>ROUNDUP(SUM(AE7*AI7,AJ7*AM7,AN7*AQ7,AT7*AW7,AX7*BB7,BE7*BH7,BL7*BO7,BP7*BT7,BU7*BY7,BZ7*CD7,CE7*CH7,CI7*CK7,CL7*CO7,DB7*DE7,DF7*DJ7,DK7*DN7,DP7*DR7,DY7*EB7,EC7*EF7,EG7*EJ7,CW7*CY7,EV7*EX7,EY7*FA7,FC7*FE7,FH7),-1)</f>
        <v>410</v>
      </c>
      <c r="AD7" s="21" t="s">
        <v>120</v>
      </c>
      <c r="AE7" s="22"/>
      <c r="AF7" s="22"/>
      <c r="AG7" s="22"/>
      <c r="AH7" s="22"/>
      <c r="AI7" s="22"/>
      <c r="AJ7" s="22"/>
      <c r="AK7" s="22"/>
      <c r="AL7" s="22"/>
      <c r="AM7" s="22"/>
      <c r="AN7" s="22">
        <v>1</v>
      </c>
      <c r="AO7" s="22"/>
      <c r="AP7" s="22" t="s">
        <v>113</v>
      </c>
      <c r="AQ7" s="22">
        <v>10</v>
      </c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>
        <v>5</v>
      </c>
      <c r="ER7" s="22">
        <v>3</v>
      </c>
      <c r="ES7" s="22">
        <v>500</v>
      </c>
      <c r="ET7" s="22">
        <v>1</v>
      </c>
      <c r="EU7" s="22">
        <v>500</v>
      </c>
      <c r="EV7" s="22">
        <v>3</v>
      </c>
      <c r="EW7" s="22">
        <f>1050*1.3</f>
        <v>1365</v>
      </c>
      <c r="EX7" s="22">
        <v>100</v>
      </c>
      <c r="EY7" s="22">
        <v>1</v>
      </c>
      <c r="EZ7" s="22">
        <f>1050*1.3</f>
        <v>1365</v>
      </c>
      <c r="FA7" s="22">
        <v>100</v>
      </c>
      <c r="FB7" s="22">
        <v>3</v>
      </c>
      <c r="FC7" s="22"/>
      <c r="FD7" s="22"/>
      <c r="FE7" s="22"/>
      <c r="FF7" s="22"/>
      <c r="FG7" s="22"/>
      <c r="FH7" s="22"/>
      <c r="FI7" s="22"/>
      <c r="FJ7" s="22"/>
      <c r="FK7" s="22"/>
      <c r="FL7" s="22"/>
      <c r="FM7" s="22"/>
      <c r="FN7" s="22"/>
      <c r="FO7" s="22"/>
      <c r="FP7" s="22"/>
      <c r="FQ7" s="22"/>
      <c r="FR7" s="22"/>
      <c r="FS7" s="22"/>
      <c r="FT7" s="22"/>
      <c r="FU7" s="22"/>
      <c r="FV7" s="22"/>
      <c r="FW7" s="22"/>
      <c r="FX7" s="22"/>
    </row>
    <row r="8" spans="1:180" s="23" customFormat="1" ht="12.75" x14ac:dyDescent="0.2">
      <c r="A8" s="2"/>
      <c r="B8" s="114" t="s">
        <v>121</v>
      </c>
      <c r="C8" s="25" t="s">
        <v>115</v>
      </c>
      <c r="D8" s="24" t="s">
        <v>104</v>
      </c>
      <c r="E8" s="26" t="s">
        <v>105</v>
      </c>
      <c r="F8" s="45">
        <v>28.05</v>
      </c>
      <c r="G8" s="27">
        <v>2.7</v>
      </c>
      <c r="H8" s="28">
        <f t="shared" si="0"/>
        <v>75.735000000000014</v>
      </c>
      <c r="I8" s="52" t="s">
        <v>106</v>
      </c>
      <c r="J8" s="115" t="s">
        <v>116</v>
      </c>
      <c r="K8" s="29"/>
      <c r="L8" s="27" t="s">
        <v>108</v>
      </c>
      <c r="M8" s="27" t="s">
        <v>109</v>
      </c>
      <c r="N8" s="27">
        <v>22</v>
      </c>
      <c r="O8" s="45">
        <f>F8*40</f>
        <v>1122</v>
      </c>
      <c r="P8" s="27" t="s">
        <v>122</v>
      </c>
      <c r="Q8" s="50" t="s">
        <v>116</v>
      </c>
      <c r="R8" s="60" t="s">
        <v>106</v>
      </c>
      <c r="S8" s="55" t="s">
        <v>106</v>
      </c>
      <c r="T8" s="50">
        <f t="shared" si="1"/>
        <v>0</v>
      </c>
      <c r="U8" s="58">
        <f t="shared" si="3"/>
        <v>0</v>
      </c>
      <c r="V8" s="55" t="s">
        <v>123</v>
      </c>
      <c r="W8" s="55" t="s">
        <v>117</v>
      </c>
      <c r="X8" s="55">
        <f>ROUNDUP(AA8*H8,-1)</f>
        <v>80</v>
      </c>
      <c r="Y8" s="55">
        <f>X8</f>
        <v>80</v>
      </c>
      <c r="Z8" s="55">
        <f>ROUNDUP(IF($J8="+",($X8-$H8*0.5),IF($J8="++",($X8-$H8*1),IF($J8="+++",($X8-$H8*1.5),IF($J8="-",($X8+$H8*0.5),IF($J8="--",($X8+$H8*1),IF($J8="---",($X8+$H8*1.5),$X8)))))),-1)</f>
        <v>80</v>
      </c>
      <c r="AA8" s="55">
        <v>1</v>
      </c>
      <c r="AB8" s="55">
        <f t="shared" si="2"/>
        <v>0</v>
      </c>
      <c r="AC8" s="55">
        <v>0</v>
      </c>
      <c r="AD8" s="32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  <c r="CZ8" s="33"/>
      <c r="DA8" s="33"/>
      <c r="DB8" s="33"/>
      <c r="DC8" s="33"/>
      <c r="DD8" s="33"/>
      <c r="DE8" s="33"/>
      <c r="DF8" s="33"/>
      <c r="DG8" s="33"/>
      <c r="DH8" s="33"/>
      <c r="DI8" s="33"/>
      <c r="DJ8" s="33"/>
      <c r="DK8" s="33"/>
      <c r="DL8" s="33"/>
      <c r="DM8" s="33"/>
      <c r="DN8" s="33"/>
      <c r="DO8" s="33"/>
      <c r="DP8" s="33"/>
      <c r="DQ8" s="33"/>
      <c r="DR8" s="33"/>
      <c r="DS8" s="33"/>
      <c r="DT8" s="33"/>
      <c r="DU8" s="33"/>
      <c r="DV8" s="33"/>
      <c r="DW8" s="33"/>
      <c r="DX8" s="33"/>
      <c r="DY8" s="33"/>
      <c r="DZ8" s="33"/>
      <c r="EA8" s="33"/>
      <c r="EB8" s="33"/>
      <c r="EC8" s="33"/>
      <c r="ED8" s="33"/>
      <c r="EE8" s="33"/>
      <c r="EF8" s="33"/>
      <c r="EG8" s="33"/>
      <c r="EH8" s="33"/>
      <c r="EI8" s="33"/>
      <c r="EJ8" s="33"/>
      <c r="EK8" s="33"/>
      <c r="EL8" s="33"/>
      <c r="EM8" s="33"/>
      <c r="EN8" s="33"/>
      <c r="EO8" s="33"/>
      <c r="EP8" s="33"/>
      <c r="EQ8" s="33"/>
      <c r="ER8" s="33"/>
      <c r="ES8" s="33"/>
      <c r="ET8" s="33"/>
      <c r="EU8" s="33"/>
      <c r="EV8" s="33"/>
      <c r="EW8" s="33"/>
      <c r="EX8" s="33"/>
      <c r="EY8" s="33"/>
      <c r="EZ8" s="33"/>
      <c r="FA8" s="33"/>
      <c r="FB8" s="33"/>
      <c r="FC8" s="33"/>
      <c r="FD8" s="33"/>
      <c r="FE8" s="33"/>
      <c r="FF8" s="33"/>
      <c r="FG8" s="33"/>
      <c r="FH8" s="33"/>
      <c r="FI8" s="33"/>
      <c r="FJ8" s="33"/>
      <c r="FK8" s="33"/>
      <c r="FL8" s="33"/>
      <c r="FM8" s="33"/>
      <c r="FN8" s="33"/>
      <c r="FO8" s="33"/>
      <c r="FP8" s="33"/>
      <c r="FQ8" s="33"/>
      <c r="FR8" s="33"/>
      <c r="FS8" s="33"/>
      <c r="FT8" s="33"/>
      <c r="FU8" s="33"/>
      <c r="FV8" s="33"/>
      <c r="FW8" s="33"/>
      <c r="FX8" s="33"/>
    </row>
    <row r="9" spans="1:180" s="2" customFormat="1" ht="12.75" x14ac:dyDescent="0.2">
      <c r="B9" s="116" t="s">
        <v>124</v>
      </c>
      <c r="C9" s="13" t="s">
        <v>125</v>
      </c>
      <c r="D9" s="12" t="s">
        <v>104</v>
      </c>
      <c r="E9" s="14" t="s">
        <v>105</v>
      </c>
      <c r="F9" s="44">
        <v>45.33</v>
      </c>
      <c r="G9" s="15">
        <v>2.7</v>
      </c>
      <c r="H9" s="16">
        <f t="shared" si="0"/>
        <v>122.39100000000001</v>
      </c>
      <c r="I9" s="17">
        <v>2</v>
      </c>
      <c r="J9" s="117" t="s">
        <v>106</v>
      </c>
      <c r="K9" s="18" t="s">
        <v>107</v>
      </c>
      <c r="L9" s="15" t="s">
        <v>108</v>
      </c>
      <c r="M9" s="15" t="s">
        <v>109</v>
      </c>
      <c r="N9" s="15">
        <v>22</v>
      </c>
      <c r="O9" s="44">
        <f>F9*40</f>
        <v>1813.1999999999998</v>
      </c>
      <c r="P9" s="15" t="s">
        <v>109</v>
      </c>
      <c r="Q9" s="49">
        <v>22</v>
      </c>
      <c r="R9" s="57">
        <f>F9*12</f>
        <v>543.96</v>
      </c>
      <c r="S9" s="49">
        <f>I9*80</f>
        <v>160</v>
      </c>
      <c r="T9" s="49">
        <f t="shared" si="1"/>
        <v>400</v>
      </c>
      <c r="U9" s="57">
        <f t="shared" si="3"/>
        <v>1103.96</v>
      </c>
      <c r="V9" s="49" t="s">
        <v>123</v>
      </c>
      <c r="W9" s="49" t="s">
        <v>111</v>
      </c>
      <c r="X9" s="49">
        <f>ROUNDUP(IF($J9="+",($AB9+$H9*0.5),IF($J9="++",($AB9+$H9*1),IF($J9="+++",($AB9+$H9*1.5),IF($J9="-",($AB9-$H9*0.5),IF($J9="--",($AB9-$H9*1),IF($J9="---",($AB9-$H9*1.5),$AB9)))))),-1)</f>
        <v>3090</v>
      </c>
      <c r="Y9" s="49">
        <f>ROUNDUP(IF($J9="+",($AC9+$H9*0.5),IF($J9="++",($AC9+$H9*1),IF($J9="+++",($AC9+$H9*1.5),IF($J9="-",($AC9-$H9*0.5),IF($J9="--",($AC9-$H9*1),IF($J9="---",($AC9-$H9*1.5),$AC9)))))),-1)</f>
        <v>600</v>
      </c>
      <c r="Z9" s="49">
        <v>0</v>
      </c>
      <c r="AA9" s="49"/>
      <c r="AB9" s="49">
        <f t="shared" si="2"/>
        <v>3150</v>
      </c>
      <c r="AC9" s="49">
        <f>ROUNDUP(SUM(AE9*AI9,AJ9*AM9,AN9*AQ9,AT9*AW9,AX9*BB9,BE9*BH9,BL9*BO9,BP9*BT9,BU9*BY9,BZ9*CD9,CE9*CH9,CI9*CK9,CL9*CO9,DB9*DE9,DF9*DJ9,DK9*DO9,DP9*DR9,DY9*EB9,EC9*EF9,EG9*EJ9,CW9*CY9,EV9*EX9,EY9*FA9,FC9*FE9,FH9),-1)</f>
        <v>660</v>
      </c>
      <c r="AD9" s="21" t="s">
        <v>120</v>
      </c>
      <c r="AE9" s="22"/>
      <c r="AF9" s="22"/>
      <c r="AG9" s="22"/>
      <c r="AH9" s="22"/>
      <c r="AI9" s="22"/>
      <c r="AJ9" s="22"/>
      <c r="AK9" s="22"/>
      <c r="AL9" s="22"/>
      <c r="AM9" s="22"/>
      <c r="AN9" s="22">
        <v>1</v>
      </c>
      <c r="AO9" s="22"/>
      <c r="AP9" s="22" t="s">
        <v>113</v>
      </c>
      <c r="AQ9" s="22">
        <v>10</v>
      </c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>
        <v>1</v>
      </c>
      <c r="CX9" s="22">
        <f>840*1.3</f>
        <v>1092</v>
      </c>
      <c r="CY9" s="22">
        <v>100</v>
      </c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>
        <v>1</v>
      </c>
      <c r="DL9" s="22"/>
      <c r="DM9" s="22" t="s">
        <v>107</v>
      </c>
      <c r="DN9" s="22">
        <v>1700</v>
      </c>
      <c r="DO9" s="22">
        <v>200</v>
      </c>
      <c r="DP9" s="22">
        <v>1</v>
      </c>
      <c r="DQ9" s="22" t="s">
        <v>113</v>
      </c>
      <c r="DR9" s="22">
        <v>100</v>
      </c>
      <c r="DS9" s="22">
        <v>1</v>
      </c>
      <c r="DT9" s="22">
        <v>200</v>
      </c>
      <c r="DU9" s="22">
        <v>1</v>
      </c>
      <c r="DV9" s="22">
        <v>100</v>
      </c>
      <c r="DW9" s="22">
        <v>1</v>
      </c>
      <c r="DX9" s="22">
        <v>100</v>
      </c>
      <c r="DY9" s="22">
        <v>1</v>
      </c>
      <c r="DZ9" s="22"/>
      <c r="EA9" s="22" t="s">
        <v>113</v>
      </c>
      <c r="EB9" s="22">
        <v>50.4</v>
      </c>
      <c r="EC9" s="22">
        <v>1</v>
      </c>
      <c r="ED9" s="22"/>
      <c r="EE9" s="22" t="s">
        <v>113</v>
      </c>
      <c r="EF9" s="22">
        <v>92</v>
      </c>
      <c r="EG9" s="22">
        <v>1</v>
      </c>
      <c r="EH9" s="22"/>
      <c r="EI9" s="22" t="s">
        <v>113</v>
      </c>
      <c r="EJ9" s="22">
        <v>100</v>
      </c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 s="22"/>
      <c r="FG9" s="22"/>
      <c r="FH9" s="22"/>
      <c r="FI9" s="22"/>
      <c r="FJ9" s="22"/>
      <c r="FK9" s="22"/>
      <c r="FL9" s="22"/>
      <c r="FM9" s="22"/>
      <c r="FN9" s="22"/>
      <c r="FO9" s="22"/>
      <c r="FP9" s="22"/>
      <c r="FQ9" s="22"/>
      <c r="FR9" s="22"/>
      <c r="FS9" s="22"/>
      <c r="FT9" s="22"/>
      <c r="FU9" s="22"/>
      <c r="FV9" s="22"/>
      <c r="FW9" s="22"/>
      <c r="FX9" s="22"/>
    </row>
    <row r="10" spans="1:180" s="34" customFormat="1" ht="12.75" x14ac:dyDescent="0.2">
      <c r="A10" s="2"/>
      <c r="B10" s="118" t="s">
        <v>126</v>
      </c>
      <c r="C10" s="36" t="s">
        <v>127</v>
      </c>
      <c r="D10" s="35" t="s">
        <v>104</v>
      </c>
      <c r="E10" s="37" t="s">
        <v>105</v>
      </c>
      <c r="F10" s="46">
        <v>34.83</v>
      </c>
      <c r="G10" s="38">
        <v>2.7</v>
      </c>
      <c r="H10" s="39">
        <f t="shared" si="0"/>
        <v>94.040999999999997</v>
      </c>
      <c r="I10" s="40">
        <v>3</v>
      </c>
      <c r="J10" s="120" t="s">
        <v>106</v>
      </c>
      <c r="K10" s="41" t="s">
        <v>107</v>
      </c>
      <c r="L10" s="38" t="s">
        <v>108</v>
      </c>
      <c r="M10" s="27" t="s">
        <v>109</v>
      </c>
      <c r="N10" s="27">
        <v>22</v>
      </c>
      <c r="O10" s="46">
        <f>45*F10</f>
        <v>1567.35</v>
      </c>
      <c r="P10" s="27" t="s">
        <v>109</v>
      </c>
      <c r="Q10" s="51">
        <v>22</v>
      </c>
      <c r="R10" s="58">
        <f>F10*12</f>
        <v>417.96</v>
      </c>
      <c r="S10" s="50">
        <f>I10*80</f>
        <v>240</v>
      </c>
      <c r="T10" s="50">
        <f t="shared" si="1"/>
        <v>0</v>
      </c>
      <c r="U10" s="58">
        <f t="shared" si="3"/>
        <v>657.96</v>
      </c>
      <c r="V10" s="50" t="s">
        <v>123</v>
      </c>
      <c r="W10" s="50" t="s">
        <v>117</v>
      </c>
      <c r="X10" s="50">
        <f>ROUNDUP(IF($J10="+",($AB10+$H10*0.5),IF($J10="++",($AB10+$H10*1),IF($J10="+++",($AB10+$H10*1.5),IF($J10="-",($AB10-$H10*0.5),IF($J10="--",($AB10-$H10*1),IF($J10="---",($AB10-$H10*1.5),$AB10)))))),-1)</f>
        <v>1650</v>
      </c>
      <c r="Y10" s="50">
        <f>ROUNDUP(IF($J10="+",($AC10+$H10*0.5),IF($J10="++",($AC10+$H10*1),IF($J10="+++",($AC10+$H10*1.5),IF($J10="-",($AC10-$H10*0.5),IF($J10="--",($AC10-$H10*1),IF($J10="---",($AC10-$H10*1.5),$AC10)))))),-1)</f>
        <v>60</v>
      </c>
      <c r="Z10" s="50">
        <v>0</v>
      </c>
      <c r="AA10" s="50"/>
      <c r="AB10" s="50">
        <f t="shared" si="2"/>
        <v>1690</v>
      </c>
      <c r="AC10" s="50">
        <f>ROUNDUP(SUM(AE10*AI10,AJ10*AM10,AN10*AQ10,AT10*AW10,AX10*BB10,BE10*BH10,BL10*BO10,BP10*BT10,BU10*BY10,BZ10*CD10,CE10*CH10,CI10*CK10,CL10*CO10,DB10*DE10,DF10*DJ10,DK10*DO10,DP10*DR10,DY10*EB10,EC10*EF10,EG10*EJ10,CW10*CY10,EV10*EX10,EY10*FA10,FC10*FE10,FH10),-1)</f>
        <v>100</v>
      </c>
      <c r="AD10" s="42" t="s">
        <v>120</v>
      </c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>
        <v>1</v>
      </c>
      <c r="CX10" s="43">
        <f>1300*1.3</f>
        <v>1690</v>
      </c>
      <c r="CY10" s="43">
        <v>100</v>
      </c>
      <c r="CZ10" s="43"/>
      <c r="DA10" s="43"/>
      <c r="DB10" s="43"/>
      <c r="DC10" s="43"/>
      <c r="DD10" s="43"/>
      <c r="DE10" s="43"/>
      <c r="DF10" s="43"/>
      <c r="DG10" s="43"/>
      <c r="DH10" s="43"/>
      <c r="DI10" s="43"/>
      <c r="DJ10" s="43"/>
      <c r="DK10" s="43"/>
      <c r="DL10" s="43"/>
      <c r="DM10" s="43"/>
      <c r="DN10" s="43"/>
      <c r="DO10" s="43"/>
      <c r="DP10" s="43"/>
      <c r="DQ10" s="43"/>
      <c r="DR10" s="43"/>
      <c r="DS10" s="43"/>
      <c r="DT10" s="43"/>
      <c r="DU10" s="43"/>
      <c r="DV10" s="43"/>
      <c r="DW10" s="43"/>
      <c r="DX10" s="43"/>
      <c r="DY10" s="43"/>
      <c r="DZ10" s="43"/>
      <c r="EA10" s="43"/>
      <c r="EB10" s="43"/>
      <c r="EC10" s="43"/>
      <c r="ED10" s="43"/>
      <c r="EE10" s="43"/>
      <c r="EF10" s="43"/>
      <c r="EG10" s="43"/>
      <c r="EH10" s="43"/>
      <c r="EI10" s="43"/>
      <c r="EJ10" s="43"/>
      <c r="EK10" s="43">
        <v>1</v>
      </c>
      <c r="EL10" s="43"/>
      <c r="EM10" s="43">
        <v>2</v>
      </c>
      <c r="EN10" s="43">
        <v>2</v>
      </c>
      <c r="EO10" s="43"/>
      <c r="EP10" s="43">
        <v>1</v>
      </c>
      <c r="EQ10" s="43"/>
      <c r="ER10" s="43"/>
      <c r="ES10" s="43"/>
      <c r="ET10" s="43"/>
      <c r="EU10" s="43"/>
      <c r="EV10" s="43"/>
      <c r="EW10" s="43"/>
      <c r="EX10" s="43"/>
      <c r="EY10" s="43"/>
      <c r="EZ10" s="43"/>
      <c r="FA10" s="43"/>
      <c r="FB10" s="43"/>
      <c r="FC10" s="43"/>
      <c r="FD10" s="43"/>
      <c r="FE10" s="43"/>
      <c r="FF10" s="43"/>
      <c r="FG10" s="43"/>
      <c r="FH10" s="43"/>
      <c r="FI10" s="43"/>
      <c r="FJ10" s="43"/>
      <c r="FK10" s="43"/>
      <c r="FL10" s="43"/>
      <c r="FM10" s="43"/>
      <c r="FN10" s="43"/>
      <c r="FO10" s="43"/>
      <c r="FP10" s="43"/>
      <c r="FQ10" s="43"/>
      <c r="FR10" s="43"/>
      <c r="FS10" s="43"/>
      <c r="FT10" s="43"/>
      <c r="FU10" s="43"/>
      <c r="FV10" s="43"/>
      <c r="FW10" s="43"/>
      <c r="FX10" s="43"/>
    </row>
    <row r="11" spans="1:180" s="2" customFormat="1" ht="12.75" x14ac:dyDescent="0.2">
      <c r="B11" s="116" t="s">
        <v>128</v>
      </c>
      <c r="C11" s="13" t="s">
        <v>129</v>
      </c>
      <c r="D11" s="12" t="s">
        <v>104</v>
      </c>
      <c r="E11" s="14" t="s">
        <v>105</v>
      </c>
      <c r="F11" s="44">
        <v>25.72</v>
      </c>
      <c r="G11" s="15">
        <v>2.7</v>
      </c>
      <c r="H11" s="16">
        <f t="shared" si="0"/>
        <v>69.444000000000003</v>
      </c>
      <c r="I11" s="17">
        <v>5</v>
      </c>
      <c r="J11" s="117" t="s">
        <v>116</v>
      </c>
      <c r="K11" s="18" t="s">
        <v>107</v>
      </c>
      <c r="L11" s="15" t="s">
        <v>108</v>
      </c>
      <c r="M11" s="15" t="s">
        <v>109</v>
      </c>
      <c r="N11" s="15">
        <v>22</v>
      </c>
      <c r="O11" s="44">
        <f>F11*40</f>
        <v>1028.8</v>
      </c>
      <c r="P11" s="15" t="s">
        <v>109</v>
      </c>
      <c r="Q11" s="49">
        <v>22</v>
      </c>
      <c r="R11" s="57">
        <f>F11*12</f>
        <v>308.64</v>
      </c>
      <c r="S11" s="49">
        <f t="shared" ref="S11:S36" si="4">I11*80</f>
        <v>400</v>
      </c>
      <c r="T11" s="49">
        <f t="shared" si="1"/>
        <v>0</v>
      </c>
      <c r="U11" s="57">
        <f t="shared" si="3"/>
        <v>708.64</v>
      </c>
      <c r="V11" s="49" t="s">
        <v>123</v>
      </c>
      <c r="W11" s="49" t="s">
        <v>111</v>
      </c>
      <c r="X11" s="49">
        <f>ROUNDUP(AA11*H11,-1)</f>
        <v>140</v>
      </c>
      <c r="Y11" s="49">
        <f>X11</f>
        <v>140</v>
      </c>
      <c r="Z11" s="49">
        <f>ROUNDUP(IF($J11="+",($X11-$H11*0.5),IF($J11="++",($X11-$H11*1),IF($J11="+++",($X11-$H11*1.5),IF($J11="-",($X11+$H11*0.5),IF($J11="--",($X11+$H11*1),IF($J11="---",($X11+$H11*1.5),$X11)))))),-1)</f>
        <v>140</v>
      </c>
      <c r="AA11" s="49">
        <v>2</v>
      </c>
      <c r="AB11" s="49">
        <f t="shared" si="2"/>
        <v>0</v>
      </c>
      <c r="AC11" s="49">
        <v>0</v>
      </c>
      <c r="AD11" s="21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22"/>
      <c r="CY11" s="22"/>
      <c r="CZ11" s="22"/>
      <c r="DA11" s="22"/>
      <c r="DB11" s="22"/>
      <c r="DC11" s="22"/>
      <c r="DD11" s="22"/>
      <c r="DE11" s="22"/>
      <c r="DF11" s="22"/>
      <c r="DG11" s="22"/>
      <c r="DH11" s="22"/>
      <c r="DI11" s="22"/>
      <c r="DJ11" s="22"/>
      <c r="DK11" s="22"/>
      <c r="DL11" s="22"/>
      <c r="DM11" s="22"/>
      <c r="DN11" s="22"/>
      <c r="DO11" s="22"/>
      <c r="DP11" s="22"/>
      <c r="DQ11" s="22"/>
      <c r="DR11" s="22"/>
      <c r="DS11" s="22"/>
      <c r="DT11" s="22"/>
      <c r="DU11" s="22"/>
      <c r="DV11" s="22"/>
      <c r="DW11" s="22"/>
      <c r="DX11" s="22"/>
      <c r="DY11" s="22"/>
      <c r="DZ11" s="22"/>
      <c r="EA11" s="22"/>
      <c r="EB11" s="22"/>
      <c r="EC11" s="22"/>
      <c r="ED11" s="22"/>
      <c r="EE11" s="22"/>
      <c r="EF11" s="22"/>
      <c r="EG11" s="22"/>
      <c r="EH11" s="22"/>
      <c r="EI11" s="22"/>
      <c r="EJ11" s="22"/>
      <c r="EK11" s="22"/>
      <c r="EL11" s="22"/>
      <c r="EM11" s="22"/>
      <c r="EN11" s="22"/>
      <c r="EO11" s="22"/>
      <c r="EP11" s="22"/>
      <c r="EQ11" s="22"/>
      <c r="ER11" s="22"/>
      <c r="ES11" s="22"/>
      <c r="ET11" s="22"/>
      <c r="EU11" s="22"/>
      <c r="EV11" s="22"/>
      <c r="EW11" s="22"/>
      <c r="EX11" s="22"/>
      <c r="EY11" s="22"/>
      <c r="EZ11" s="22"/>
      <c r="FA11" s="22"/>
      <c r="FB11" s="22"/>
      <c r="FC11" s="22"/>
      <c r="FD11" s="22"/>
      <c r="FE11" s="22"/>
      <c r="FF11" s="22"/>
      <c r="FG11" s="22"/>
      <c r="FH11" s="22"/>
      <c r="FI11" s="22"/>
      <c r="FJ11" s="22"/>
      <c r="FK11" s="22"/>
      <c r="FL11" s="22"/>
      <c r="FM11" s="22"/>
      <c r="FN11" s="22"/>
      <c r="FO11" s="22"/>
      <c r="FP11" s="22"/>
      <c r="FQ11" s="22"/>
      <c r="FR11" s="22"/>
      <c r="FS11" s="22"/>
      <c r="FT11" s="22"/>
      <c r="FU11" s="22"/>
      <c r="FV11" s="22"/>
      <c r="FW11" s="22"/>
      <c r="FX11" s="22"/>
    </row>
    <row r="12" spans="1:180" s="34" customFormat="1" ht="13.9" customHeight="1" x14ac:dyDescent="0.2">
      <c r="A12" s="2"/>
      <c r="B12" s="118" t="s">
        <v>130</v>
      </c>
      <c r="C12" s="36" t="s">
        <v>115</v>
      </c>
      <c r="D12" s="35" t="s">
        <v>104</v>
      </c>
      <c r="E12" s="37" t="s">
        <v>105</v>
      </c>
      <c r="F12" s="46">
        <v>13.18</v>
      </c>
      <c r="G12" s="38">
        <v>2.7</v>
      </c>
      <c r="H12" s="39">
        <f t="shared" si="0"/>
        <v>35.585999999999999</v>
      </c>
      <c r="I12" s="53" t="s">
        <v>106</v>
      </c>
      <c r="J12" s="120" t="s">
        <v>116</v>
      </c>
      <c r="K12" s="41"/>
      <c r="L12" s="38" t="s">
        <v>108</v>
      </c>
      <c r="M12" s="27" t="s">
        <v>109</v>
      </c>
      <c r="N12" s="27">
        <v>22</v>
      </c>
      <c r="O12" s="45">
        <f>F12*40</f>
        <v>527.20000000000005</v>
      </c>
      <c r="P12" s="38" t="s">
        <v>122</v>
      </c>
      <c r="Q12" s="51" t="s">
        <v>116</v>
      </c>
      <c r="R12" s="60" t="s">
        <v>106</v>
      </c>
      <c r="S12" s="55" t="s">
        <v>106</v>
      </c>
      <c r="T12" s="50">
        <f t="shared" si="1"/>
        <v>0</v>
      </c>
      <c r="U12" s="58">
        <f t="shared" si="3"/>
        <v>0</v>
      </c>
      <c r="V12" s="55" t="s">
        <v>123</v>
      </c>
      <c r="W12" s="55" t="s">
        <v>117</v>
      </c>
      <c r="X12" s="55">
        <f>ROUNDUP(AA12*H12,-1)</f>
        <v>40</v>
      </c>
      <c r="Y12" s="55">
        <f>X12</f>
        <v>40</v>
      </c>
      <c r="Z12" s="55">
        <f>ROUNDUP(IF($J12="+",($X12-$H12*0.5),IF($J12="++",($X12-$H12*1),IF($J12="+++",($X12-$H12*1.5),IF($J12="-",($X12+$H12*0.5),IF($J12="--",($X12+$H12*1),IF($J12="---",($X12+$H12*1.5),$X12)))))),-1)</f>
        <v>40</v>
      </c>
      <c r="AA12" s="55">
        <v>1</v>
      </c>
      <c r="AB12" s="55">
        <f t="shared" si="2"/>
        <v>0</v>
      </c>
      <c r="AC12" s="55">
        <v>0</v>
      </c>
      <c r="AD12" s="42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  <c r="FP12" s="43"/>
      <c r="FQ12" s="43"/>
      <c r="FR12" s="43"/>
      <c r="FS12" s="43"/>
      <c r="FT12" s="43"/>
      <c r="FU12" s="43"/>
      <c r="FV12" s="43"/>
      <c r="FW12" s="43"/>
      <c r="FX12" s="43"/>
    </row>
    <row r="13" spans="1:180" s="2" customFormat="1" ht="12.75" x14ac:dyDescent="0.2">
      <c r="B13" s="116" t="s">
        <v>131</v>
      </c>
      <c r="C13" s="13" t="s">
        <v>132</v>
      </c>
      <c r="D13" s="12" t="s">
        <v>104</v>
      </c>
      <c r="E13" s="14" t="s">
        <v>105</v>
      </c>
      <c r="F13" s="44">
        <v>26.05</v>
      </c>
      <c r="G13" s="15">
        <v>2.7</v>
      </c>
      <c r="H13" s="16">
        <f t="shared" si="0"/>
        <v>70.335000000000008</v>
      </c>
      <c r="I13" s="17">
        <v>1</v>
      </c>
      <c r="J13" s="121" t="s">
        <v>133</v>
      </c>
      <c r="K13" s="18" t="s">
        <v>107</v>
      </c>
      <c r="L13" s="15" t="s">
        <v>108</v>
      </c>
      <c r="M13" s="15" t="s">
        <v>109</v>
      </c>
      <c r="N13" s="15">
        <v>22</v>
      </c>
      <c r="O13" s="44">
        <f>45*F13</f>
        <v>1172.25</v>
      </c>
      <c r="P13" s="15" t="s">
        <v>109</v>
      </c>
      <c r="Q13" s="49">
        <v>22</v>
      </c>
      <c r="R13" s="57">
        <f>F13*12</f>
        <v>312.60000000000002</v>
      </c>
      <c r="S13" s="49">
        <f t="shared" si="4"/>
        <v>80</v>
      </c>
      <c r="T13" s="49">
        <f t="shared" si="1"/>
        <v>850</v>
      </c>
      <c r="U13" s="57">
        <f t="shared" si="3"/>
        <v>1242.5999999999999</v>
      </c>
      <c r="V13" s="49" t="s">
        <v>123</v>
      </c>
      <c r="W13" s="49" t="s">
        <v>111</v>
      </c>
      <c r="X13" s="49">
        <f>ROUNDUP(IF($J13="+",($AB13+$H13*0.5),IF($J13="++",($AB13+$H13*1),IF($J13="+++",($AB13+$H13*1.5),IF($J13="-",($AB13-$H13*0.5),IF($J13="--",($AB13-$H13*1),IF($J13="---",($AB13-$H13*1.5),$AB13)))))),-1)</f>
        <v>3220</v>
      </c>
      <c r="Y13" s="49">
        <f>ROUNDUP(IF($J13="+",($AC13+$H13*0.5),IF($J13="++",($AC13+$H13*1),IF($J13="+++",($AC13+$H13*1.5),IF($J13="-",($AC13-$H13*0.5),IF($J13="--",($AC13-$H13*1),IF($J13="---",($AC13-$H13*1.5),$AC13)))))),-1)</f>
        <v>1130</v>
      </c>
      <c r="Z13" s="49">
        <v>0</v>
      </c>
      <c r="AA13" s="49"/>
      <c r="AB13" s="49">
        <f t="shared" si="2"/>
        <v>3290</v>
      </c>
      <c r="AC13" s="49">
        <f>ROUNDUP(SUM(AE13*AI13,AJ13*AM13,AN13*AQ13,AT13*AW13,AX13*BB13,BE13*BH13,BL13*BO13,BP13*BT13,BU13*BY13,BZ13*CD13,CE13*CH13,CI13*CK13,CL13*CO13,DB13*DE13,DF13*DJ13,DK13*DN13,DP13*DR13,DY13*EB13,EC13*EF13,EG13*EJ13,CW13*CY13,EV13*EX13,EY13*FA13,FC13*FE13,FH13),-1)</f>
        <v>1200</v>
      </c>
      <c r="AD13" s="21" t="s">
        <v>120</v>
      </c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>
        <v>1</v>
      </c>
      <c r="CS13" s="22">
        <v>150</v>
      </c>
      <c r="CT13" s="22">
        <v>1</v>
      </c>
      <c r="CU13" s="22">
        <v>1</v>
      </c>
      <c r="CV13" s="22">
        <v>150</v>
      </c>
      <c r="CW13" s="22">
        <v>1</v>
      </c>
      <c r="CX13" s="22">
        <f>1300*1.3</f>
        <v>1690</v>
      </c>
      <c r="CY13" s="22">
        <v>100</v>
      </c>
      <c r="CZ13" s="22">
        <v>1</v>
      </c>
      <c r="DA13" s="22">
        <v>250</v>
      </c>
      <c r="DB13" s="22">
        <v>1</v>
      </c>
      <c r="DC13" s="22">
        <v>150</v>
      </c>
      <c r="DD13" s="22" t="s">
        <v>113</v>
      </c>
      <c r="DE13" s="22">
        <v>1000</v>
      </c>
      <c r="DF13" s="22">
        <v>1</v>
      </c>
      <c r="DG13" s="22">
        <v>150</v>
      </c>
      <c r="DH13" s="22" t="s">
        <v>107</v>
      </c>
      <c r="DI13" s="22">
        <v>600</v>
      </c>
      <c r="DJ13" s="22">
        <v>100</v>
      </c>
      <c r="DK13" s="22"/>
      <c r="DL13" s="22"/>
      <c r="DM13" s="22"/>
      <c r="DN13" s="22"/>
      <c r="DO13" s="22"/>
      <c r="DP13" s="22"/>
      <c r="DQ13" s="22"/>
      <c r="DR13" s="22"/>
      <c r="DS13" s="22"/>
      <c r="DT13" s="22"/>
      <c r="DU13" s="22"/>
      <c r="DV13" s="22"/>
      <c r="DW13" s="22"/>
      <c r="DX13" s="22"/>
      <c r="DY13" s="22"/>
      <c r="DZ13" s="22"/>
      <c r="EA13" s="22"/>
      <c r="EB13" s="22"/>
      <c r="EC13" s="22"/>
      <c r="ED13" s="22"/>
      <c r="EE13" s="22"/>
      <c r="EF13" s="22"/>
      <c r="EG13" s="22"/>
      <c r="EH13" s="22"/>
      <c r="EI13" s="22"/>
      <c r="EJ13" s="22"/>
      <c r="EK13" s="22"/>
      <c r="EL13" s="22"/>
      <c r="EM13" s="22"/>
      <c r="EN13" s="22"/>
      <c r="EO13" s="22"/>
      <c r="EP13" s="22"/>
      <c r="EQ13" s="22"/>
      <c r="ER13" s="22"/>
      <c r="ES13" s="22"/>
      <c r="ET13" s="22"/>
      <c r="EU13" s="22"/>
      <c r="EV13" s="22"/>
      <c r="EW13" s="22"/>
      <c r="EX13" s="22"/>
      <c r="EY13" s="22"/>
      <c r="EZ13" s="22"/>
      <c r="FA13" s="22"/>
      <c r="FB13" s="22"/>
      <c r="FC13" s="22"/>
      <c r="FD13" s="22"/>
      <c r="FE13" s="22"/>
      <c r="FF13" s="22"/>
      <c r="FG13" s="22"/>
      <c r="FH13" s="22"/>
      <c r="FI13" s="22"/>
      <c r="FJ13" s="22"/>
      <c r="FK13" s="22"/>
      <c r="FL13" s="22"/>
      <c r="FM13" s="22"/>
      <c r="FN13" s="22"/>
      <c r="FO13" s="22"/>
      <c r="FP13" s="22"/>
      <c r="FQ13" s="22"/>
      <c r="FR13" s="22"/>
      <c r="FS13" s="22"/>
      <c r="FT13" s="22"/>
      <c r="FU13" s="22"/>
      <c r="FV13" s="22"/>
      <c r="FW13" s="22"/>
      <c r="FX13" s="22"/>
    </row>
    <row r="14" spans="1:180" s="34" customFormat="1" ht="12.75" x14ac:dyDescent="0.2">
      <c r="A14" s="2"/>
      <c r="B14" s="118" t="s">
        <v>134</v>
      </c>
      <c r="C14" s="36" t="s">
        <v>135</v>
      </c>
      <c r="D14" s="35" t="s">
        <v>104</v>
      </c>
      <c r="E14" s="37" t="s">
        <v>105</v>
      </c>
      <c r="F14" s="46">
        <v>60.97</v>
      </c>
      <c r="G14" s="38">
        <v>2.7</v>
      </c>
      <c r="H14" s="39">
        <f t="shared" si="0"/>
        <v>164.619</v>
      </c>
      <c r="I14" s="40">
        <v>5</v>
      </c>
      <c r="J14" s="120" t="s">
        <v>133</v>
      </c>
      <c r="K14" s="41" t="s">
        <v>107</v>
      </c>
      <c r="L14" s="38" t="s">
        <v>108</v>
      </c>
      <c r="M14" s="27" t="s">
        <v>109</v>
      </c>
      <c r="N14" s="27">
        <v>22</v>
      </c>
      <c r="O14" s="46">
        <f>45*F14</f>
        <v>2743.65</v>
      </c>
      <c r="P14" s="27" t="s">
        <v>109</v>
      </c>
      <c r="Q14" s="51">
        <v>22</v>
      </c>
      <c r="R14" s="58">
        <f>F14*12</f>
        <v>731.64</v>
      </c>
      <c r="S14" s="50">
        <f t="shared" si="4"/>
        <v>400</v>
      </c>
      <c r="T14" s="50">
        <f t="shared" si="1"/>
        <v>1350</v>
      </c>
      <c r="U14" s="58">
        <f t="shared" si="3"/>
        <v>2481.64</v>
      </c>
      <c r="V14" s="50" t="s">
        <v>123</v>
      </c>
      <c r="W14" s="50" t="s">
        <v>117</v>
      </c>
      <c r="X14" s="50">
        <f>ROUNDUP(IF($J14="+",($AB14+$H14*0.5),IF($J14="++",($AB14+$H14*1),IF($J14="+++",($AB14+$H14*1.5),IF($J14="-",($AB14-$H14*0.5),IF($J14="--",($AB14-$H14*1),IF($J14="---",($AB14-$H14*1.5),$AB14)))))),-1)</f>
        <v>9590</v>
      </c>
      <c r="Y14" s="50">
        <f>ROUNDUP(IF($J14="+",($AC14+$H14*0.5),IF($J14="++",($AC14+$H14*1),IF($J14="+++",($AC14+$H14*1.5),IF($J14="-",($AC14-$H14*0.5),IF($J14="--",($AC14-$H14*1),IF($J14="---",($AC14-$H14*1.5),$AC14)))))),-1)</f>
        <v>1170</v>
      </c>
      <c r="Z14" s="50">
        <v>0</v>
      </c>
      <c r="AA14" s="50"/>
      <c r="AB14" s="50">
        <f>ROUNDUP(SUM(AE14*AH14,AJ14*AM14,AN14*AQ14,AT14*AW14,AX14*BA14,BE14*BH14,BL14*BO14,BP14*BS14,BU14*BX14,BZ14*CC14,CE14*CG14,CI14*CK14,CL14*CO14,DB14*DE14,DF14*DI14,DK14*DN14,DP14*DR14,DY14*EB14,EC14*EF14,EG14*EJ14,CW14*CX14,EV14*EW14,EY14*EZ14,FC14*FD14,FH14,FW14),-1)</f>
        <v>9750</v>
      </c>
      <c r="AC14" s="50">
        <f>ROUNDUP(SUM(AE14*AI14,AJ14*AM14,AN14*AQ14,AT14*AW14,AX14*BB14,BE14*BH14,BL14*BO14,BP14*BT14,BU14*BY14,BZ14*CD14,CE14*CH14,CI14*CK14,CL14*CO14,DB14*DE14,DF14*DJ14,DK14*DN14,DP14*DR14,DY14*EB14,EC14*EF14,EG14*EJ14,CW14*CY14,EV14*EX14,EY14*FA14,FC14*FE14,FH14),-1)</f>
        <v>1330</v>
      </c>
      <c r="AD14" s="42" t="s">
        <v>136</v>
      </c>
      <c r="AE14" s="43"/>
      <c r="AF14" s="43"/>
      <c r="AG14" s="43"/>
      <c r="AH14" s="43"/>
      <c r="AI14" s="43"/>
      <c r="AJ14" s="43"/>
      <c r="AK14" s="43"/>
      <c r="AL14" s="43"/>
      <c r="AM14" s="43"/>
      <c r="AN14" s="43">
        <v>1</v>
      </c>
      <c r="AO14" s="43"/>
      <c r="AP14" s="43" t="s">
        <v>113</v>
      </c>
      <c r="AQ14" s="43">
        <v>10</v>
      </c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>
        <v>1</v>
      </c>
      <c r="BQ14" s="43">
        <v>150</v>
      </c>
      <c r="BR14" s="43" t="s">
        <v>107</v>
      </c>
      <c r="BS14" s="43">
        <v>1100</v>
      </c>
      <c r="BT14" s="43">
        <v>100</v>
      </c>
      <c r="BU14" s="43">
        <v>3</v>
      </c>
      <c r="BV14" s="43">
        <f>150*2</f>
        <v>300</v>
      </c>
      <c r="BW14" s="43" t="s">
        <v>107</v>
      </c>
      <c r="BX14" s="43">
        <f>1100*2</f>
        <v>2200</v>
      </c>
      <c r="BY14" s="43">
        <v>200</v>
      </c>
      <c r="BZ14" s="43">
        <v>1</v>
      </c>
      <c r="CA14" s="43">
        <v>150</v>
      </c>
      <c r="CB14" s="43" t="s">
        <v>107</v>
      </c>
      <c r="CC14" s="43">
        <v>1100</v>
      </c>
      <c r="CD14" s="43">
        <v>100</v>
      </c>
      <c r="CE14" s="43">
        <v>1</v>
      </c>
      <c r="CF14" s="43" t="s">
        <v>113</v>
      </c>
      <c r="CG14" s="43">
        <v>500</v>
      </c>
      <c r="CH14" s="43">
        <v>80</v>
      </c>
      <c r="CI14" s="43">
        <v>1</v>
      </c>
      <c r="CJ14" s="43" t="s">
        <v>113</v>
      </c>
      <c r="CK14" s="43">
        <v>80</v>
      </c>
      <c r="CL14" s="43">
        <v>3</v>
      </c>
      <c r="CM14" s="43"/>
      <c r="CN14" s="43" t="s">
        <v>113</v>
      </c>
      <c r="CO14" s="43">
        <v>120</v>
      </c>
      <c r="CP14" s="43">
        <v>1</v>
      </c>
      <c r="CQ14" s="43">
        <v>150</v>
      </c>
      <c r="CR14" s="43">
        <v>3</v>
      </c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  <c r="FP14" s="43"/>
      <c r="FQ14" s="43"/>
      <c r="FR14" s="43"/>
      <c r="FS14" s="43"/>
      <c r="FT14" s="43"/>
      <c r="FU14" s="43"/>
      <c r="FV14" s="43"/>
      <c r="FW14" s="43"/>
      <c r="FX14" s="43"/>
    </row>
    <row r="15" spans="1:180" s="2" customFormat="1" ht="12.75" x14ac:dyDescent="0.2">
      <c r="B15" s="116" t="s">
        <v>137</v>
      </c>
      <c r="C15" s="13" t="s">
        <v>138</v>
      </c>
      <c r="D15" s="12" t="s">
        <v>104</v>
      </c>
      <c r="E15" s="14" t="s">
        <v>105</v>
      </c>
      <c r="F15" s="44">
        <v>28.06</v>
      </c>
      <c r="G15" s="15">
        <v>2.7</v>
      </c>
      <c r="H15" s="16">
        <f t="shared" si="0"/>
        <v>75.762</v>
      </c>
      <c r="I15" s="17">
        <v>2</v>
      </c>
      <c r="J15" s="121" t="s">
        <v>133</v>
      </c>
      <c r="K15" s="18" t="s">
        <v>107</v>
      </c>
      <c r="L15" s="15" t="s">
        <v>108</v>
      </c>
      <c r="M15" s="15" t="s">
        <v>109</v>
      </c>
      <c r="N15" s="15">
        <v>22</v>
      </c>
      <c r="O15" s="44">
        <f>F15*40</f>
        <v>1122.3999999999999</v>
      </c>
      <c r="P15" s="15" t="s">
        <v>109</v>
      </c>
      <c r="Q15" s="49">
        <v>22</v>
      </c>
      <c r="R15" s="57">
        <f>F15*12</f>
        <v>336.71999999999997</v>
      </c>
      <c r="S15" s="49">
        <f t="shared" si="4"/>
        <v>160</v>
      </c>
      <c r="T15" s="57">
        <f t="shared" si="1"/>
        <v>3130</v>
      </c>
      <c r="U15" s="57">
        <f t="shared" si="3"/>
        <v>3626.72</v>
      </c>
      <c r="V15" s="49" t="s">
        <v>123</v>
      </c>
      <c r="W15" s="49" t="s">
        <v>111</v>
      </c>
      <c r="X15" s="49">
        <f>ROUNDUP(IF($J15="+",($AB15+$H15*0.5),IF($J15="++",($AB15+$H15*1),IF($J15="+++",($AB15+$H15*1.5),IF($J15="-",($AB15-$H15*0.5),IF($J15="--",($AB15-$H15*1),IF($J15="---",($AB15-$H15*1.5),$AB15)))))),-1)</f>
        <v>3370</v>
      </c>
      <c r="Y15" s="49">
        <f>ROUNDUP(IF($J15="+",($AC15+$H15*0.5),IF($J15="++",($AC15+$H15*1),IF($J15="+++",($AC15+$H15*1.5),IF($J15="-",($AC15-$H15*0.5),IF($J15="--",($AC15-$H15*1),IF($J15="---",($AC15-$H15*1.5),$AC15)))))),-1)</f>
        <v>2440</v>
      </c>
      <c r="Z15" s="49">
        <v>0</v>
      </c>
      <c r="AA15" s="49"/>
      <c r="AB15" s="218">
        <f>ROUNDUP(SUM(AE15*AH15,AJ15*AM15,AN15*AQ15,AT15*AW15,AX15*BA15,BE15*BH15,BL15*BO15,BP15*BS15,BU15*BX15,BZ15*CC15,CE15*CG15,CI15*CK15,CL15*CO15,DB15*DE15,DF15*DI15,DK15*DN15,DP15*DR15,DY15*EB15,EC15*EF15,EG15*EJ15,CW15*CX15,EV15*EW15,EY15*EZ15,FC15*FD15,FH15,FU15*FW15),-1)</f>
        <v>3440</v>
      </c>
      <c r="AC15" s="49">
        <f>ROUNDUP(SUM(AE15*AI15,AJ15*AM15,AN15*AQ15,AT15*AW15,AX15*BB15,BE15*BH15,BL15*BO15,BP15*BT15,BU15*BY15,BZ15*CD15,CE15*CH15,CI15*CK15,CL15*CO15,DB15*DE15,DF15*DJ15,DK15*DN15,DP15*DR15,DY15*EB15,EC15*EF15,EG15*EJ15,CW15*CY15,EV15*EX15,EY15*FA15,FC15*FE15,FH15),-1)</f>
        <v>2510</v>
      </c>
      <c r="AD15" s="21" t="s">
        <v>139</v>
      </c>
      <c r="AE15" s="22"/>
      <c r="AF15" s="22"/>
      <c r="AG15" s="22"/>
      <c r="AH15" s="22"/>
      <c r="AI15" s="22"/>
      <c r="AJ15" s="22"/>
      <c r="AK15" s="22"/>
      <c r="AL15" s="22"/>
      <c r="AM15" s="22"/>
      <c r="AN15" s="22">
        <v>1</v>
      </c>
      <c r="AO15" s="22"/>
      <c r="AP15" s="22" t="s">
        <v>113</v>
      </c>
      <c r="AQ15" s="22">
        <v>10</v>
      </c>
      <c r="AR15" s="22"/>
      <c r="AS15" s="22"/>
      <c r="AT15" s="22">
        <v>4</v>
      </c>
      <c r="AU15" s="22"/>
      <c r="AV15" s="22" t="s">
        <v>113</v>
      </c>
      <c r="AW15" s="22">
        <v>500</v>
      </c>
      <c r="AX15" s="22">
        <v>1</v>
      </c>
      <c r="AY15" s="22"/>
      <c r="AZ15" s="22" t="s">
        <v>107</v>
      </c>
      <c r="BA15" s="22">
        <v>1000</v>
      </c>
      <c r="BB15" s="22">
        <v>150</v>
      </c>
      <c r="BC15" s="22">
        <v>1</v>
      </c>
      <c r="BD15" s="22">
        <f>12000*0.5*0.5</f>
        <v>3000</v>
      </c>
      <c r="BE15" s="22">
        <v>1</v>
      </c>
      <c r="BF15" s="22">
        <f>1500*0.2*0.1</f>
        <v>30</v>
      </c>
      <c r="BG15" s="22" t="s">
        <v>107</v>
      </c>
      <c r="BH15" s="22"/>
      <c r="BI15" s="22">
        <v>1</v>
      </c>
      <c r="BJ15" s="22">
        <v>1</v>
      </c>
      <c r="BK15" s="22">
        <v>100</v>
      </c>
      <c r="BL15" s="22">
        <v>4</v>
      </c>
      <c r="BM15" s="22"/>
      <c r="BN15" s="22" t="s">
        <v>113</v>
      </c>
      <c r="BO15" s="22">
        <v>87</v>
      </c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2"/>
      <c r="DB15" s="22"/>
      <c r="DC15" s="22"/>
      <c r="DD15" s="22"/>
      <c r="DE15" s="22"/>
      <c r="DF15" s="22"/>
      <c r="DG15" s="22"/>
      <c r="DH15" s="22"/>
      <c r="DI15" s="22"/>
      <c r="DJ15" s="22"/>
      <c r="DK15" s="22"/>
      <c r="DL15" s="22"/>
      <c r="DM15" s="22"/>
      <c r="DN15" s="22"/>
      <c r="DO15" s="22"/>
      <c r="DP15" s="22"/>
      <c r="DQ15" s="22"/>
      <c r="DR15" s="22"/>
      <c r="DS15" s="22"/>
      <c r="DT15" s="22"/>
      <c r="DU15" s="22"/>
      <c r="DV15" s="22"/>
      <c r="DW15" s="22"/>
      <c r="DX15" s="22"/>
      <c r="DY15" s="22"/>
      <c r="DZ15" s="22"/>
      <c r="EA15" s="22"/>
      <c r="EB15" s="22"/>
      <c r="EC15" s="22"/>
      <c r="ED15" s="22"/>
      <c r="EE15" s="22"/>
      <c r="EF15" s="22"/>
      <c r="EG15" s="22"/>
      <c r="EH15" s="22"/>
      <c r="EI15" s="22"/>
      <c r="EJ15" s="22"/>
      <c r="EK15" s="22"/>
      <c r="EL15" s="22"/>
      <c r="EM15" s="22"/>
      <c r="EN15" s="22"/>
      <c r="EO15" s="22"/>
      <c r="EP15" s="22"/>
      <c r="EQ15" s="22"/>
      <c r="ER15" s="22"/>
      <c r="ES15" s="22"/>
      <c r="ET15" s="22"/>
      <c r="EU15" s="22"/>
      <c r="EV15" s="22"/>
      <c r="EW15" s="22"/>
      <c r="EX15" s="22"/>
      <c r="EY15" s="22"/>
      <c r="EZ15" s="22"/>
      <c r="FA15" s="22"/>
      <c r="FB15" s="22"/>
      <c r="FC15" s="22"/>
      <c r="FD15" s="22"/>
      <c r="FE15" s="22"/>
      <c r="FF15" s="22"/>
      <c r="FG15" s="22"/>
      <c r="FH15" s="22"/>
      <c r="FI15" s="22"/>
      <c r="FJ15" s="22"/>
      <c r="FK15" s="22"/>
      <c r="FL15" s="22"/>
      <c r="FM15" s="22"/>
      <c r="FN15" s="22"/>
      <c r="FO15" s="22"/>
      <c r="FP15" s="22"/>
      <c r="FQ15" s="22"/>
      <c r="FR15" s="22"/>
      <c r="FS15" s="22"/>
      <c r="FT15" s="22"/>
      <c r="FU15" s="22">
        <v>1</v>
      </c>
      <c r="FV15" s="22" t="s">
        <v>113</v>
      </c>
      <c r="FW15" s="215">
        <v>80</v>
      </c>
      <c r="FX15" s="22">
        <v>80</v>
      </c>
    </row>
    <row r="16" spans="1:180" s="34" customFormat="1" ht="12.75" x14ac:dyDescent="0.2">
      <c r="A16" s="2"/>
      <c r="B16" s="118" t="s">
        <v>140</v>
      </c>
      <c r="C16" s="36" t="s">
        <v>141</v>
      </c>
      <c r="D16" s="35" t="s">
        <v>104</v>
      </c>
      <c r="E16" s="37" t="s">
        <v>105</v>
      </c>
      <c r="F16" s="46">
        <v>18.18</v>
      </c>
      <c r="G16" s="38">
        <v>2.7</v>
      </c>
      <c r="H16" s="39">
        <f t="shared" si="0"/>
        <v>49.086000000000006</v>
      </c>
      <c r="I16" s="40">
        <v>1</v>
      </c>
      <c r="J16" s="120" t="s">
        <v>106</v>
      </c>
      <c r="K16" s="41" t="s">
        <v>107</v>
      </c>
      <c r="L16" s="38" t="s">
        <v>108</v>
      </c>
      <c r="M16" s="27" t="s">
        <v>109</v>
      </c>
      <c r="N16" s="27">
        <v>22</v>
      </c>
      <c r="O16" s="45">
        <f>F16*40</f>
        <v>727.2</v>
      </c>
      <c r="P16" s="27" t="s">
        <v>109</v>
      </c>
      <c r="Q16" s="51">
        <v>22</v>
      </c>
      <c r="R16" s="58">
        <f>F16*12</f>
        <v>218.16</v>
      </c>
      <c r="S16" s="50">
        <f t="shared" si="4"/>
        <v>80</v>
      </c>
      <c r="T16" s="50">
        <f t="shared" si="1"/>
        <v>0</v>
      </c>
      <c r="U16" s="58">
        <f t="shared" si="3"/>
        <v>298.15999999999997</v>
      </c>
      <c r="V16" s="50" t="s">
        <v>123</v>
      </c>
      <c r="W16" s="50" t="s">
        <v>117</v>
      </c>
      <c r="X16" s="50">
        <f>ROUNDUP(IF($J16="+",($AB16+$H16*0.5),IF($J16="++",($AB16+$H16*1),IF($J16="+++",($AB16+$H16*1.5),IF($J16="-",($AB16-$H16*0.5),IF($J16="--",($AB16-$H16*1),IF($J16="---",($AB16-$H16*1.5),$AB16)))))),-1)</f>
        <v>810</v>
      </c>
      <c r="Y16" s="50">
        <f>ROUNDUP(IF($J16="+",($AC16+$H16*0.5),IF($J16="++",($AC16+$H16*1),IF($J16="+++",($AC16+$H16*1.5),IF($J16="-",($AC16-$H16*0.5),IF($J16="--",($AC16-$H16*1),IF($J16="---",($AC16-$H16*1.5),$AC16)))))),-1)</f>
        <v>210</v>
      </c>
      <c r="Z16" s="50">
        <v>0</v>
      </c>
      <c r="AA16" s="50"/>
      <c r="AB16" s="50">
        <f t="shared" si="2"/>
        <v>830</v>
      </c>
      <c r="AC16" s="50">
        <f>ROUNDUP(SUM(AE16*AI16,AJ16*AM16,AN16*AQ16,AT16*AW16,AX16*BB16,BE16*BH16,BL16*BO16,BP16*BT16,BU16*BY16,BZ16*CD16,CE16*CH16,CI16*CK16,CL16*CO16,DB16*DE16,DF16*DJ16,DK16*DN16,DP16*DR16,DY16*EB16,EC16*EF16,EG16*EJ16,CW16*CY16,EV16*EX16,EY16*FA16,FC16*FE16,FH16),-1)</f>
        <v>230</v>
      </c>
      <c r="AD16" s="42" t="s">
        <v>120</v>
      </c>
      <c r="AE16" s="43">
        <v>1</v>
      </c>
      <c r="AF16" s="43"/>
      <c r="AG16" s="43" t="s">
        <v>113</v>
      </c>
      <c r="AH16" s="43">
        <v>700</v>
      </c>
      <c r="AI16" s="43">
        <v>100</v>
      </c>
      <c r="AJ16" s="43">
        <v>1</v>
      </c>
      <c r="AK16" s="43"/>
      <c r="AL16" s="43" t="s">
        <v>113</v>
      </c>
      <c r="AM16" s="43">
        <v>120</v>
      </c>
      <c r="AN16" s="43">
        <v>1</v>
      </c>
      <c r="AO16" s="43"/>
      <c r="AP16" s="43" t="s">
        <v>113</v>
      </c>
      <c r="AQ16" s="43">
        <v>10</v>
      </c>
      <c r="AR16" s="43">
        <v>1</v>
      </c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  <c r="FP16" s="43"/>
      <c r="FQ16" s="43"/>
      <c r="FR16" s="43"/>
      <c r="FS16" s="43"/>
      <c r="FT16" s="43"/>
      <c r="FU16" s="43"/>
      <c r="FV16" s="43"/>
      <c r="FW16" s="43"/>
      <c r="FX16" s="43"/>
    </row>
    <row r="17" spans="1:180" s="2" customFormat="1" ht="12.75" x14ac:dyDescent="0.2">
      <c r="B17" s="116" t="s">
        <v>142</v>
      </c>
      <c r="C17" s="13" t="s">
        <v>143</v>
      </c>
      <c r="D17" s="12" t="s">
        <v>104</v>
      </c>
      <c r="E17" s="14" t="s">
        <v>105</v>
      </c>
      <c r="F17" s="44">
        <v>6.28</v>
      </c>
      <c r="G17" s="15">
        <v>2.7</v>
      </c>
      <c r="H17" s="16">
        <f t="shared" si="0"/>
        <v>16.956000000000003</v>
      </c>
      <c r="I17" s="54" t="s">
        <v>106</v>
      </c>
      <c r="J17" s="121" t="s">
        <v>116</v>
      </c>
      <c r="K17" s="18"/>
      <c r="L17" s="15" t="s">
        <v>108</v>
      </c>
      <c r="M17" s="15" t="s">
        <v>122</v>
      </c>
      <c r="N17" s="15" t="s">
        <v>116</v>
      </c>
      <c r="O17" s="62" t="s">
        <v>106</v>
      </c>
      <c r="P17" s="15" t="s">
        <v>122</v>
      </c>
      <c r="Q17" s="49" t="s">
        <v>116</v>
      </c>
      <c r="R17" s="59" t="s">
        <v>106</v>
      </c>
      <c r="S17" s="56" t="s">
        <v>106</v>
      </c>
      <c r="T17" s="56">
        <f t="shared" si="1"/>
        <v>0</v>
      </c>
      <c r="U17" s="57">
        <f t="shared" si="3"/>
        <v>0</v>
      </c>
      <c r="V17" s="56" t="s">
        <v>123</v>
      </c>
      <c r="W17" s="56" t="s">
        <v>111</v>
      </c>
      <c r="X17" s="56">
        <f>ROUNDUP(AA17*H17,-1)</f>
        <v>40</v>
      </c>
      <c r="Y17" s="56">
        <f t="shared" ref="Y17:Y34" si="5">X17</f>
        <v>40</v>
      </c>
      <c r="Z17" s="56">
        <f>ROUNDUP(IF($J17="+",($X17-$H17*0.5),IF($J17="++",($X17-$H17*1),IF($J17="+++",($X17-$H17*1.5),IF($J17="-",($X17+$H17*0.5),IF($J17="--",($X17+$H17*1),IF($J17="---",($X17+$H17*1.5),$X17)))))),-1)</f>
        <v>40</v>
      </c>
      <c r="AA17" s="56">
        <v>2</v>
      </c>
      <c r="AB17" s="56">
        <f t="shared" si="2"/>
        <v>0</v>
      </c>
      <c r="AC17" s="56">
        <v>0</v>
      </c>
      <c r="AD17" s="21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2"/>
      <c r="BY17" s="22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2"/>
      <c r="DB17" s="22"/>
      <c r="DC17" s="22"/>
      <c r="DD17" s="22"/>
      <c r="DE17" s="22"/>
      <c r="DF17" s="22"/>
      <c r="DG17" s="22"/>
      <c r="DH17" s="22"/>
      <c r="DI17" s="22"/>
      <c r="DJ17" s="22"/>
      <c r="DK17" s="22"/>
      <c r="DL17" s="22"/>
      <c r="DM17" s="22"/>
      <c r="DN17" s="22"/>
      <c r="DO17" s="22"/>
      <c r="DP17" s="22"/>
      <c r="DQ17" s="22"/>
      <c r="DR17" s="22"/>
      <c r="DS17" s="22"/>
      <c r="DT17" s="22"/>
      <c r="DU17" s="22"/>
      <c r="DV17" s="22"/>
      <c r="DW17" s="22"/>
      <c r="DX17" s="22"/>
      <c r="DY17" s="22"/>
      <c r="DZ17" s="22"/>
      <c r="EA17" s="22"/>
      <c r="EB17" s="22"/>
      <c r="EC17" s="22"/>
      <c r="ED17" s="22"/>
      <c r="EE17" s="22"/>
      <c r="EF17" s="22"/>
      <c r="EG17" s="22"/>
      <c r="EH17" s="22"/>
      <c r="EI17" s="22"/>
      <c r="EJ17" s="22"/>
      <c r="EK17" s="22"/>
      <c r="EL17" s="22"/>
      <c r="EM17" s="22"/>
      <c r="EN17" s="22"/>
      <c r="EO17" s="22"/>
      <c r="EP17" s="22"/>
      <c r="EQ17" s="22"/>
      <c r="ER17" s="22"/>
      <c r="ES17" s="22"/>
      <c r="ET17" s="22"/>
      <c r="EU17" s="22"/>
      <c r="EV17" s="22"/>
      <c r="EW17" s="22"/>
      <c r="EX17" s="22"/>
      <c r="EY17" s="22"/>
      <c r="EZ17" s="22"/>
      <c r="FA17" s="22"/>
      <c r="FB17" s="22"/>
      <c r="FC17" s="22"/>
      <c r="FD17" s="22"/>
      <c r="FE17" s="22"/>
      <c r="FF17" s="22"/>
      <c r="FG17" s="22"/>
      <c r="FH17" s="22"/>
      <c r="FI17" s="22"/>
      <c r="FJ17" s="22"/>
      <c r="FK17" s="22"/>
      <c r="FL17" s="22"/>
      <c r="FM17" s="22"/>
      <c r="FN17" s="22"/>
      <c r="FO17" s="22"/>
      <c r="FP17" s="22"/>
      <c r="FQ17" s="22"/>
      <c r="FR17" s="22"/>
      <c r="FS17" s="22"/>
      <c r="FT17" s="22"/>
      <c r="FU17" s="22"/>
      <c r="FV17" s="22"/>
      <c r="FW17" s="22"/>
      <c r="FX17" s="22"/>
    </row>
    <row r="18" spans="1:180" s="34" customFormat="1" ht="12.75" x14ac:dyDescent="0.2">
      <c r="A18" s="2"/>
      <c r="B18" s="118" t="s">
        <v>144</v>
      </c>
      <c r="C18" s="36" t="s">
        <v>145</v>
      </c>
      <c r="D18" s="35" t="s">
        <v>104</v>
      </c>
      <c r="E18" s="37" t="s">
        <v>105</v>
      </c>
      <c r="F18" s="46">
        <v>24.75</v>
      </c>
      <c r="G18" s="38">
        <v>2.7</v>
      </c>
      <c r="H18" s="39">
        <f t="shared" si="0"/>
        <v>66.825000000000003</v>
      </c>
      <c r="I18" s="53" t="s">
        <v>106</v>
      </c>
      <c r="J18" s="120" t="s">
        <v>106</v>
      </c>
      <c r="K18" s="41"/>
      <c r="L18" s="38" t="s">
        <v>108</v>
      </c>
      <c r="M18" s="38" t="s">
        <v>122</v>
      </c>
      <c r="N18" s="38" t="s">
        <v>116</v>
      </c>
      <c r="O18" s="61" t="s">
        <v>106</v>
      </c>
      <c r="P18" s="38" t="s">
        <v>122</v>
      </c>
      <c r="Q18" s="51" t="s">
        <v>116</v>
      </c>
      <c r="R18" s="60" t="s">
        <v>106</v>
      </c>
      <c r="S18" s="55" t="s">
        <v>106</v>
      </c>
      <c r="T18" s="55">
        <f t="shared" si="1"/>
        <v>0</v>
      </c>
      <c r="U18" s="58">
        <f t="shared" si="3"/>
        <v>0</v>
      </c>
      <c r="V18" s="55" t="s">
        <v>123</v>
      </c>
      <c r="W18" s="55" t="s">
        <v>117</v>
      </c>
      <c r="X18" s="218">
        <f>ROUNDUP(IF($J18="+",($Z18+$H18*0.5),IF($J18="++",($Z18+$H18*1),IF($J18="+++",($Z18+$H18*1.5),IF($J18="-",($Z18-$H18*0.5),IF($J18="--",($Z18-$H18*1),IF($J18="---",($Z18-$H18*1.5),$Z18)))))),-1)</f>
        <v>1970</v>
      </c>
      <c r="Y18" s="218">
        <v>0</v>
      </c>
      <c r="Z18" s="218">
        <v>2000</v>
      </c>
      <c r="AA18" s="218">
        <v>20</v>
      </c>
      <c r="AB18" s="218">
        <v>0</v>
      </c>
      <c r="AC18" s="218">
        <v>0</v>
      </c>
      <c r="AD18" s="42" t="s">
        <v>139</v>
      </c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  <c r="FP18" s="43"/>
      <c r="FQ18" s="43"/>
      <c r="FR18" s="43"/>
      <c r="FS18" s="43"/>
      <c r="FT18" s="43"/>
      <c r="FU18" s="43"/>
      <c r="FV18" s="43"/>
      <c r="FW18" s="43"/>
      <c r="FX18" s="43"/>
    </row>
    <row r="19" spans="1:180" s="2" customFormat="1" ht="12.75" x14ac:dyDescent="0.2">
      <c r="B19" s="116" t="s">
        <v>146</v>
      </c>
      <c r="C19" s="13" t="s">
        <v>147</v>
      </c>
      <c r="D19" s="12" t="s">
        <v>104</v>
      </c>
      <c r="E19" s="14" t="s">
        <v>105</v>
      </c>
      <c r="F19" s="44">
        <v>8.92</v>
      </c>
      <c r="G19" s="15">
        <v>2.7</v>
      </c>
      <c r="H19" s="16">
        <f t="shared" si="0"/>
        <v>24.084</v>
      </c>
      <c r="I19" s="54" t="s">
        <v>106</v>
      </c>
      <c r="J19" s="121" t="s">
        <v>106</v>
      </c>
      <c r="K19" s="18"/>
      <c r="L19" s="15" t="s">
        <v>108</v>
      </c>
      <c r="M19" s="15" t="s">
        <v>122</v>
      </c>
      <c r="N19" s="15" t="s">
        <v>116</v>
      </c>
      <c r="O19" s="62" t="s">
        <v>106</v>
      </c>
      <c r="P19" s="15" t="s">
        <v>122</v>
      </c>
      <c r="Q19" s="49" t="s">
        <v>116</v>
      </c>
      <c r="R19" s="59" t="s">
        <v>106</v>
      </c>
      <c r="S19" s="56" t="s">
        <v>106</v>
      </c>
      <c r="T19" s="56">
        <f t="shared" si="1"/>
        <v>0</v>
      </c>
      <c r="U19" s="57">
        <f t="shared" si="3"/>
        <v>0</v>
      </c>
      <c r="V19" s="56" t="s">
        <v>123</v>
      </c>
      <c r="W19" s="56" t="s">
        <v>111</v>
      </c>
      <c r="X19" s="56">
        <f>ROUNDUP(AA19*H19,-1)</f>
        <v>150</v>
      </c>
      <c r="Y19" s="56">
        <f t="shared" si="5"/>
        <v>150</v>
      </c>
      <c r="Z19" s="56">
        <f>ROUNDUP(IF($J19="+",($X19-$H19*0.5),IF($J19="++",($X19-$H19*1),IF($J19="+++",($X19-$H19*1.5),IF($J19="-",($X19+$H19*0.5),IF($J19="--",($X19+$H19*1),IF($J19="---",($X19+$H19*1.5),$X19)))))),-1)</f>
        <v>170</v>
      </c>
      <c r="AA19" s="56">
        <v>6</v>
      </c>
      <c r="AB19" s="56">
        <f t="shared" ref="AB19:AB36" si="6">SUM(AH19,AM19,AQ19,AW19,BA19,BH19,BO19,BS19,BX19,CC19,CG19,CK19,CO19,DE19,DI19,DN19,DR19,EB19,EF19,EJ19,FH19)</f>
        <v>0</v>
      </c>
      <c r="AC19" s="56">
        <v>0</v>
      </c>
      <c r="AD19" s="21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22"/>
      <c r="CQ19" s="22"/>
      <c r="CR19" s="22"/>
      <c r="CS19" s="22"/>
      <c r="CT19" s="22"/>
      <c r="CU19" s="22"/>
      <c r="CV19" s="22"/>
      <c r="CW19" s="22"/>
      <c r="CX19" s="22"/>
      <c r="CY19" s="22"/>
      <c r="CZ19" s="22"/>
      <c r="DA19" s="22"/>
      <c r="DB19" s="22"/>
      <c r="DC19" s="22"/>
      <c r="DD19" s="22"/>
      <c r="DE19" s="22"/>
      <c r="DF19" s="22"/>
      <c r="DG19" s="22"/>
      <c r="DH19" s="22"/>
      <c r="DI19" s="22"/>
      <c r="DJ19" s="22"/>
      <c r="DK19" s="22"/>
      <c r="DL19" s="22"/>
      <c r="DM19" s="22"/>
      <c r="DN19" s="22"/>
      <c r="DO19" s="22"/>
      <c r="DP19" s="22"/>
      <c r="DQ19" s="22"/>
      <c r="DR19" s="22"/>
      <c r="DS19" s="22"/>
      <c r="DT19" s="22"/>
      <c r="DU19" s="22"/>
      <c r="DV19" s="22"/>
      <c r="DW19" s="22"/>
      <c r="DX19" s="22"/>
      <c r="DY19" s="22"/>
      <c r="DZ19" s="22"/>
      <c r="EA19" s="22"/>
      <c r="EB19" s="22"/>
      <c r="EC19" s="22"/>
      <c r="ED19" s="22"/>
      <c r="EE19" s="22"/>
      <c r="EF19" s="22"/>
      <c r="EG19" s="22"/>
      <c r="EH19" s="22"/>
      <c r="EI19" s="22"/>
      <c r="EJ19" s="22"/>
      <c r="EK19" s="22"/>
      <c r="EL19" s="22"/>
      <c r="EM19" s="22"/>
      <c r="EN19" s="22"/>
      <c r="EO19" s="22"/>
      <c r="EP19" s="22"/>
      <c r="EQ19" s="22"/>
      <c r="ER19" s="22"/>
      <c r="ES19" s="22"/>
      <c r="ET19" s="22"/>
      <c r="EU19" s="22"/>
      <c r="EV19" s="22"/>
      <c r="EW19" s="22"/>
      <c r="EX19" s="22"/>
      <c r="EY19" s="22"/>
      <c r="EZ19" s="22"/>
      <c r="FA19" s="22"/>
      <c r="FB19" s="22"/>
      <c r="FC19" s="22"/>
      <c r="FD19" s="22"/>
      <c r="FE19" s="22"/>
      <c r="FF19" s="22"/>
      <c r="FG19" s="22"/>
      <c r="FH19" s="22"/>
      <c r="FI19" s="22"/>
      <c r="FJ19" s="22"/>
      <c r="FK19" s="22"/>
      <c r="FL19" s="22"/>
      <c r="FM19" s="22"/>
      <c r="FN19" s="22"/>
      <c r="FO19" s="22"/>
      <c r="FP19" s="22"/>
      <c r="FQ19" s="22"/>
      <c r="FR19" s="22"/>
      <c r="FS19" s="22"/>
      <c r="FT19" s="22"/>
      <c r="FU19" s="22"/>
      <c r="FV19" s="22"/>
      <c r="FW19" s="22"/>
      <c r="FX19" s="22"/>
    </row>
    <row r="20" spans="1:180" s="34" customFormat="1" ht="12.75" x14ac:dyDescent="0.2">
      <c r="A20" s="2"/>
      <c r="B20" s="118" t="s">
        <v>148</v>
      </c>
      <c r="C20" s="36" t="s">
        <v>149</v>
      </c>
      <c r="D20" s="35" t="s">
        <v>104</v>
      </c>
      <c r="E20" s="37" t="s">
        <v>105</v>
      </c>
      <c r="F20" s="46">
        <v>34</v>
      </c>
      <c r="G20" s="38">
        <v>2.7</v>
      </c>
      <c r="H20" s="39">
        <f t="shared" si="0"/>
        <v>91.800000000000011</v>
      </c>
      <c r="I20" s="53" t="s">
        <v>106</v>
      </c>
      <c r="J20" s="120" t="s">
        <v>116</v>
      </c>
      <c r="K20" s="41" t="s">
        <v>107</v>
      </c>
      <c r="L20" s="38" t="s">
        <v>108</v>
      </c>
      <c r="M20" s="38" t="s">
        <v>109</v>
      </c>
      <c r="N20" s="27">
        <v>22</v>
      </c>
      <c r="O20" s="46">
        <f>45*F20</f>
        <v>1530</v>
      </c>
      <c r="P20" s="27" t="s">
        <v>109</v>
      </c>
      <c r="Q20" s="51">
        <v>22</v>
      </c>
      <c r="R20" s="58">
        <f>F20*12</f>
        <v>408</v>
      </c>
      <c r="S20" s="55" t="s">
        <v>106</v>
      </c>
      <c r="T20" s="55">
        <f t="shared" si="1"/>
        <v>2000</v>
      </c>
      <c r="U20" s="58">
        <f t="shared" si="3"/>
        <v>2408</v>
      </c>
      <c r="V20" s="55" t="s">
        <v>123</v>
      </c>
      <c r="W20" s="55" t="s">
        <v>150</v>
      </c>
      <c r="X20" s="55">
        <f>AB20</f>
        <v>1840</v>
      </c>
      <c r="Y20" s="55">
        <f>AC20</f>
        <v>560</v>
      </c>
      <c r="Z20" s="55">
        <v>0</v>
      </c>
      <c r="AA20" s="55">
        <v>6</v>
      </c>
      <c r="AB20" s="55">
        <f>ROUNDUP($H$20*20,-1)</f>
        <v>1840</v>
      </c>
      <c r="AC20" s="55">
        <f>ROUNDUP($H$20*6,-1)</f>
        <v>560</v>
      </c>
      <c r="AD20" s="42" t="s">
        <v>151</v>
      </c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  <c r="FP20" s="43"/>
      <c r="FQ20" s="43">
        <v>5</v>
      </c>
      <c r="FR20" s="43">
        <v>400</v>
      </c>
      <c r="FS20" s="43"/>
      <c r="FT20" s="43"/>
      <c r="FU20" s="43"/>
      <c r="FV20" s="43"/>
      <c r="FW20" s="43"/>
      <c r="FX20" s="43"/>
    </row>
    <row r="21" spans="1:180" s="2" customFormat="1" ht="12.75" x14ac:dyDescent="0.2">
      <c r="B21" s="116" t="s">
        <v>152</v>
      </c>
      <c r="C21" s="13" t="s">
        <v>115</v>
      </c>
      <c r="D21" s="12" t="s">
        <v>104</v>
      </c>
      <c r="E21" s="14" t="s">
        <v>105</v>
      </c>
      <c r="F21" s="44">
        <v>5.77</v>
      </c>
      <c r="G21" s="15">
        <v>2.7</v>
      </c>
      <c r="H21" s="16">
        <f t="shared" si="0"/>
        <v>15.579000000000001</v>
      </c>
      <c r="I21" s="54" t="s">
        <v>106</v>
      </c>
      <c r="J21" s="121" t="s">
        <v>116</v>
      </c>
      <c r="K21" s="18"/>
      <c r="L21" s="15" t="s">
        <v>108</v>
      </c>
      <c r="M21" s="15" t="s">
        <v>122</v>
      </c>
      <c r="N21" s="15">
        <v>22</v>
      </c>
      <c r="O21" s="44">
        <f>F21*40</f>
        <v>230.79999999999998</v>
      </c>
      <c r="P21" s="15" t="s">
        <v>122</v>
      </c>
      <c r="Q21" s="49" t="s">
        <v>116</v>
      </c>
      <c r="R21" s="59" t="s">
        <v>106</v>
      </c>
      <c r="S21" s="56" t="s">
        <v>106</v>
      </c>
      <c r="T21" s="56">
        <f t="shared" si="1"/>
        <v>800</v>
      </c>
      <c r="U21" s="57">
        <f t="shared" si="3"/>
        <v>800</v>
      </c>
      <c r="V21" s="56" t="s">
        <v>123</v>
      </c>
      <c r="W21" s="56" t="s">
        <v>111</v>
      </c>
      <c r="X21" s="56">
        <f>ROUNDUP(AA21*H21,-1)</f>
        <v>20</v>
      </c>
      <c r="Y21" s="56">
        <f t="shared" si="5"/>
        <v>20</v>
      </c>
      <c r="Z21" s="56">
        <f>ROUNDUP(IF($J21="+",($X21-$H21*0.5),IF($J21="++",($X21-$H21*1),IF($J21="+++",($X21-$H21*1.5),IF($J21="-",($X21+$H21*0.5),IF($J21="--",($X21+$H21*1),IF($J21="---",($X21+$H21*1.5),$X21)))))),-1)</f>
        <v>20</v>
      </c>
      <c r="AA21" s="56">
        <v>1</v>
      </c>
      <c r="AB21" s="56">
        <f t="shared" si="6"/>
        <v>0</v>
      </c>
      <c r="AC21" s="56">
        <v>0</v>
      </c>
      <c r="AD21" s="21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22"/>
      <c r="DI21" s="22"/>
      <c r="DJ21" s="22"/>
      <c r="DK21" s="22"/>
      <c r="DL21" s="22"/>
      <c r="DM21" s="22"/>
      <c r="DN21" s="22"/>
      <c r="DO21" s="22"/>
      <c r="DP21" s="22"/>
      <c r="DQ21" s="22"/>
      <c r="DR21" s="22"/>
      <c r="DS21" s="22"/>
      <c r="DT21" s="22"/>
      <c r="DU21" s="22"/>
      <c r="DV21" s="22"/>
      <c r="DW21" s="22"/>
      <c r="DX21" s="22"/>
      <c r="DY21" s="22"/>
      <c r="DZ21" s="22"/>
      <c r="EA21" s="22"/>
      <c r="EB21" s="22"/>
      <c r="EC21" s="22"/>
      <c r="ED21" s="22"/>
      <c r="EE21" s="22"/>
      <c r="EF21" s="22"/>
      <c r="EG21" s="22"/>
      <c r="EH21" s="22"/>
      <c r="EI21" s="22"/>
      <c r="EJ21" s="22"/>
      <c r="EK21" s="22"/>
      <c r="EL21" s="22"/>
      <c r="EM21" s="22"/>
      <c r="EN21" s="22"/>
      <c r="EO21" s="22"/>
      <c r="EP21" s="22"/>
      <c r="EQ21" s="22"/>
      <c r="ER21" s="22"/>
      <c r="ES21" s="22"/>
      <c r="ET21" s="22"/>
      <c r="EU21" s="22"/>
      <c r="EV21" s="22"/>
      <c r="EW21" s="22"/>
      <c r="EX21" s="22"/>
      <c r="EY21" s="22"/>
      <c r="EZ21" s="22"/>
      <c r="FA21" s="22"/>
      <c r="FB21" s="22"/>
      <c r="FC21" s="22"/>
      <c r="FD21" s="22"/>
      <c r="FE21" s="22"/>
      <c r="FF21" s="22"/>
      <c r="FG21" s="22"/>
      <c r="FH21" s="22"/>
      <c r="FI21" s="22"/>
      <c r="FJ21" s="22"/>
      <c r="FK21" s="22"/>
      <c r="FL21" s="22"/>
      <c r="FM21" s="22"/>
      <c r="FN21" s="22"/>
      <c r="FO21" s="22"/>
      <c r="FP21" s="22"/>
      <c r="FQ21" s="22"/>
      <c r="FR21" s="22"/>
      <c r="FS21" s="22">
        <v>4</v>
      </c>
      <c r="FT21" s="22">
        <v>200</v>
      </c>
      <c r="FU21" s="22"/>
      <c r="FV21" s="22"/>
      <c r="FW21" s="22"/>
      <c r="FX21" s="22"/>
    </row>
    <row r="22" spans="1:180" s="34" customFormat="1" ht="12.75" x14ac:dyDescent="0.2">
      <c r="A22" s="2"/>
      <c r="B22" s="118" t="s">
        <v>153</v>
      </c>
      <c r="C22" s="36" t="s">
        <v>154</v>
      </c>
      <c r="D22" s="35" t="s">
        <v>104</v>
      </c>
      <c r="E22" s="37" t="s">
        <v>105</v>
      </c>
      <c r="F22" s="46">
        <v>19.66</v>
      </c>
      <c r="G22" s="38">
        <v>2.7</v>
      </c>
      <c r="H22" s="39">
        <f t="shared" si="0"/>
        <v>53.082000000000001</v>
      </c>
      <c r="I22" s="53" t="s">
        <v>106</v>
      </c>
      <c r="J22" s="120" t="s">
        <v>116</v>
      </c>
      <c r="K22" s="41"/>
      <c r="L22" s="38" t="s">
        <v>108</v>
      </c>
      <c r="M22" s="38" t="s">
        <v>109</v>
      </c>
      <c r="N22" s="38">
        <v>22</v>
      </c>
      <c r="O22" s="45">
        <f>F22*40</f>
        <v>786.4</v>
      </c>
      <c r="P22" s="38" t="s">
        <v>122</v>
      </c>
      <c r="Q22" s="51" t="s">
        <v>116</v>
      </c>
      <c r="R22" s="60" t="s">
        <v>106</v>
      </c>
      <c r="S22" s="55" t="s">
        <v>106</v>
      </c>
      <c r="T22" s="50">
        <f t="shared" si="1"/>
        <v>0</v>
      </c>
      <c r="U22" s="58">
        <f t="shared" si="3"/>
        <v>0</v>
      </c>
      <c r="V22" s="55" t="s">
        <v>123</v>
      </c>
      <c r="W22" s="55" t="s">
        <v>117</v>
      </c>
      <c r="X22" s="55">
        <v>0</v>
      </c>
      <c r="Y22" s="55">
        <f t="shared" si="5"/>
        <v>0</v>
      </c>
      <c r="Z22" s="55">
        <v>350</v>
      </c>
      <c r="AA22" s="55"/>
      <c r="AB22" s="55">
        <f t="shared" si="6"/>
        <v>0</v>
      </c>
      <c r="AC22" s="55">
        <v>0</v>
      </c>
      <c r="AD22" s="42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  <c r="FP22" s="43"/>
      <c r="FQ22" s="43"/>
      <c r="FR22" s="43"/>
      <c r="FS22" s="43"/>
      <c r="FT22" s="43"/>
      <c r="FU22" s="43"/>
      <c r="FV22" s="43"/>
      <c r="FW22" s="43"/>
      <c r="FX22" s="43"/>
    </row>
    <row r="23" spans="1:180" s="2" customFormat="1" ht="12.75" x14ac:dyDescent="0.2">
      <c r="B23" s="116" t="s">
        <v>155</v>
      </c>
      <c r="C23" s="13" t="s">
        <v>154</v>
      </c>
      <c r="D23" s="12" t="s">
        <v>104</v>
      </c>
      <c r="E23" s="14" t="s">
        <v>105</v>
      </c>
      <c r="F23" s="44">
        <v>33.450000000000003</v>
      </c>
      <c r="G23" s="15">
        <v>2.7</v>
      </c>
      <c r="H23" s="16">
        <f t="shared" si="0"/>
        <v>90.315000000000012</v>
      </c>
      <c r="I23" s="54" t="s">
        <v>106</v>
      </c>
      <c r="J23" s="121" t="s">
        <v>116</v>
      </c>
      <c r="K23" s="18"/>
      <c r="L23" s="15" t="s">
        <v>108</v>
      </c>
      <c r="M23" s="15" t="s">
        <v>109</v>
      </c>
      <c r="N23" s="15">
        <v>22</v>
      </c>
      <c r="O23" s="44">
        <f>40*(SUM(F23:F31))</f>
        <v>2097.4</v>
      </c>
      <c r="P23" s="15" t="s">
        <v>122</v>
      </c>
      <c r="Q23" s="49" t="s">
        <v>116</v>
      </c>
      <c r="R23" s="59" t="s">
        <v>106</v>
      </c>
      <c r="S23" s="56" t="s">
        <v>106</v>
      </c>
      <c r="T23" s="56">
        <f t="shared" si="1"/>
        <v>0</v>
      </c>
      <c r="U23" s="57">
        <f t="shared" si="3"/>
        <v>0</v>
      </c>
      <c r="V23" s="56" t="s">
        <v>123</v>
      </c>
      <c r="W23" s="56" t="s">
        <v>111</v>
      </c>
      <c r="X23" s="56">
        <f>Y23</f>
        <v>590</v>
      </c>
      <c r="Y23" s="56">
        <f>SUM(Z22:Z31)</f>
        <v>590</v>
      </c>
      <c r="Z23" s="56">
        <v>0</v>
      </c>
      <c r="AA23" s="56"/>
      <c r="AB23" s="56">
        <f t="shared" si="6"/>
        <v>0</v>
      </c>
      <c r="AC23" s="56">
        <v>0</v>
      </c>
      <c r="AD23" s="21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22"/>
      <c r="DI23" s="22"/>
      <c r="DJ23" s="22"/>
      <c r="DK23" s="22"/>
      <c r="DL23" s="22"/>
      <c r="DM23" s="22"/>
      <c r="DN23" s="22"/>
      <c r="DO23" s="22"/>
      <c r="DP23" s="22"/>
      <c r="DQ23" s="22"/>
      <c r="DR23" s="22"/>
      <c r="DS23" s="22"/>
      <c r="DT23" s="22"/>
      <c r="DU23" s="22"/>
      <c r="DV23" s="22"/>
      <c r="DW23" s="22"/>
      <c r="DX23" s="22"/>
      <c r="DY23" s="22"/>
      <c r="DZ23" s="22"/>
      <c r="EA23" s="22"/>
      <c r="EB23" s="22"/>
      <c r="EC23" s="22"/>
      <c r="ED23" s="22"/>
      <c r="EE23" s="22"/>
      <c r="EF23" s="22"/>
      <c r="EG23" s="22"/>
      <c r="EH23" s="22"/>
      <c r="EI23" s="22"/>
      <c r="EJ23" s="22"/>
      <c r="EK23" s="22"/>
      <c r="EL23" s="22"/>
      <c r="EM23" s="22"/>
      <c r="EN23" s="22"/>
      <c r="EO23" s="22"/>
      <c r="EP23" s="22"/>
      <c r="EQ23" s="22"/>
      <c r="ER23" s="22"/>
      <c r="ES23" s="22"/>
      <c r="ET23" s="22"/>
      <c r="EU23" s="22"/>
      <c r="EV23" s="22"/>
      <c r="EW23" s="22"/>
      <c r="EX23" s="22"/>
      <c r="EY23" s="22"/>
      <c r="EZ23" s="22"/>
      <c r="FA23" s="22"/>
      <c r="FB23" s="22"/>
      <c r="FC23" s="22"/>
      <c r="FD23" s="22"/>
      <c r="FE23" s="22"/>
      <c r="FF23" s="22"/>
      <c r="FG23" s="22"/>
      <c r="FH23" s="22"/>
      <c r="FI23" s="22"/>
      <c r="FJ23" s="22"/>
      <c r="FK23" s="22"/>
      <c r="FL23" s="22"/>
      <c r="FM23" s="22"/>
      <c r="FN23" s="22"/>
      <c r="FO23" s="22"/>
      <c r="FP23" s="22"/>
      <c r="FQ23" s="22"/>
      <c r="FR23" s="22"/>
      <c r="FS23" s="22"/>
      <c r="FT23" s="22"/>
      <c r="FU23" s="22"/>
      <c r="FV23" s="22"/>
      <c r="FW23" s="22"/>
      <c r="FX23" s="22"/>
    </row>
    <row r="24" spans="1:180" s="34" customFormat="1" ht="12.75" x14ac:dyDescent="0.2">
      <c r="A24" s="2"/>
      <c r="B24" s="118" t="s">
        <v>156</v>
      </c>
      <c r="C24" s="36" t="s">
        <v>157</v>
      </c>
      <c r="D24" s="35" t="s">
        <v>104</v>
      </c>
      <c r="E24" s="37" t="s">
        <v>105</v>
      </c>
      <c r="F24" s="46">
        <v>3.87</v>
      </c>
      <c r="G24" s="38">
        <v>2.7</v>
      </c>
      <c r="H24" s="39">
        <f t="shared" si="0"/>
        <v>10.449000000000002</v>
      </c>
      <c r="I24" s="53" t="s">
        <v>106</v>
      </c>
      <c r="J24" s="120" t="s">
        <v>106</v>
      </c>
      <c r="K24" s="41"/>
      <c r="L24" s="38" t="s">
        <v>108</v>
      </c>
      <c r="M24" s="38" t="s">
        <v>122</v>
      </c>
      <c r="N24" s="38" t="s">
        <v>116</v>
      </c>
      <c r="O24" s="61" t="s">
        <v>106</v>
      </c>
      <c r="P24" s="38" t="s">
        <v>122</v>
      </c>
      <c r="Q24" s="51" t="s">
        <v>116</v>
      </c>
      <c r="R24" s="60" t="s">
        <v>106</v>
      </c>
      <c r="S24" s="55" t="s">
        <v>106</v>
      </c>
      <c r="T24" s="50">
        <f t="shared" si="1"/>
        <v>0</v>
      </c>
      <c r="U24" s="58">
        <f t="shared" si="3"/>
        <v>0</v>
      </c>
      <c r="V24" s="30" t="s">
        <v>123</v>
      </c>
      <c r="W24" s="31" t="s">
        <v>117</v>
      </c>
      <c r="X24" s="48">
        <f>ROUNDUP(AA24*H24,-1)</f>
        <v>0</v>
      </c>
      <c r="Y24" s="48">
        <f t="shared" si="5"/>
        <v>0</v>
      </c>
      <c r="Z24" s="48">
        <v>30</v>
      </c>
      <c r="AA24" s="42"/>
      <c r="AB24" s="160">
        <f t="shared" si="6"/>
        <v>0</v>
      </c>
      <c r="AC24" s="160">
        <v>0</v>
      </c>
      <c r="AD24" s="42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  <c r="FP24" s="43"/>
      <c r="FQ24" s="43"/>
      <c r="FR24" s="43"/>
      <c r="FS24" s="43"/>
      <c r="FT24" s="43"/>
      <c r="FU24" s="43"/>
      <c r="FV24" s="43"/>
      <c r="FW24" s="43"/>
      <c r="FX24" s="43"/>
    </row>
    <row r="25" spans="1:180" s="2" customFormat="1" ht="12.75" x14ac:dyDescent="0.2">
      <c r="B25" s="116" t="s">
        <v>158</v>
      </c>
      <c r="C25" s="13" t="s">
        <v>159</v>
      </c>
      <c r="D25" s="12" t="s">
        <v>104</v>
      </c>
      <c r="E25" s="14" t="s">
        <v>105</v>
      </c>
      <c r="F25" s="44">
        <v>2.04</v>
      </c>
      <c r="G25" s="15">
        <v>2.7</v>
      </c>
      <c r="H25" s="16">
        <f t="shared" si="0"/>
        <v>5.5080000000000009</v>
      </c>
      <c r="I25" s="54" t="s">
        <v>106</v>
      </c>
      <c r="J25" s="121" t="s">
        <v>106</v>
      </c>
      <c r="K25" s="18"/>
      <c r="L25" s="15" t="s">
        <v>108</v>
      </c>
      <c r="M25" s="15" t="s">
        <v>122</v>
      </c>
      <c r="N25" s="15" t="s">
        <v>116</v>
      </c>
      <c r="O25" s="63" t="s">
        <v>106</v>
      </c>
      <c r="P25" s="15" t="s">
        <v>122</v>
      </c>
      <c r="Q25" s="49" t="s">
        <v>116</v>
      </c>
      <c r="R25" s="59" t="s">
        <v>106</v>
      </c>
      <c r="S25" s="56" t="s">
        <v>106</v>
      </c>
      <c r="T25" s="56">
        <f t="shared" si="1"/>
        <v>0</v>
      </c>
      <c r="U25" s="57">
        <f t="shared" si="3"/>
        <v>0</v>
      </c>
      <c r="V25" s="19" t="s">
        <v>123</v>
      </c>
      <c r="W25" s="20" t="s">
        <v>111</v>
      </c>
      <c r="X25" s="47">
        <f>ROUNDUP(AA25*H25,-1)</f>
        <v>0</v>
      </c>
      <c r="Y25" s="47">
        <f t="shared" si="5"/>
        <v>0</v>
      </c>
      <c r="Z25" s="47">
        <v>30</v>
      </c>
      <c r="AA25" s="21"/>
      <c r="AB25" s="159">
        <f t="shared" si="6"/>
        <v>0</v>
      </c>
      <c r="AC25" s="159">
        <v>0</v>
      </c>
      <c r="AD25" s="21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  <c r="DP25" s="22"/>
      <c r="DQ25" s="22"/>
      <c r="DR25" s="22"/>
      <c r="DS25" s="22"/>
      <c r="DT25" s="22"/>
      <c r="DU25" s="22"/>
      <c r="DV25" s="22"/>
      <c r="DW25" s="22"/>
      <c r="DX25" s="22"/>
      <c r="DY25" s="22"/>
      <c r="DZ25" s="22"/>
      <c r="EA25" s="22"/>
      <c r="EB25" s="22"/>
      <c r="EC25" s="22"/>
      <c r="ED25" s="22"/>
      <c r="EE25" s="22"/>
      <c r="EF25" s="22"/>
      <c r="EG25" s="22"/>
      <c r="EH25" s="22"/>
      <c r="EI25" s="22"/>
      <c r="EJ25" s="22"/>
      <c r="EK25" s="22"/>
      <c r="EL25" s="22"/>
      <c r="EM25" s="22"/>
      <c r="EN25" s="22"/>
      <c r="EO25" s="22"/>
      <c r="EP25" s="22"/>
      <c r="EQ25" s="22"/>
      <c r="ER25" s="22"/>
      <c r="ES25" s="22"/>
      <c r="ET25" s="22"/>
      <c r="EU25" s="22"/>
      <c r="EV25" s="22"/>
      <c r="EW25" s="22"/>
      <c r="EX25" s="22"/>
      <c r="EY25" s="22"/>
      <c r="EZ25" s="22"/>
      <c r="FA25" s="22"/>
      <c r="FB25" s="22"/>
      <c r="FC25" s="22"/>
      <c r="FD25" s="22"/>
      <c r="FE25" s="22"/>
      <c r="FF25" s="22"/>
      <c r="FG25" s="22"/>
      <c r="FH25" s="22"/>
      <c r="FI25" s="22"/>
      <c r="FJ25" s="22"/>
      <c r="FK25" s="22"/>
      <c r="FL25" s="22"/>
      <c r="FM25" s="22"/>
      <c r="FN25" s="22"/>
      <c r="FO25" s="22"/>
      <c r="FP25" s="22"/>
      <c r="FQ25" s="22"/>
      <c r="FR25" s="22"/>
      <c r="FS25" s="22"/>
      <c r="FT25" s="22"/>
      <c r="FU25" s="22"/>
      <c r="FV25" s="22"/>
      <c r="FW25" s="22"/>
      <c r="FX25" s="22"/>
    </row>
    <row r="26" spans="1:180" s="34" customFormat="1" ht="12.75" x14ac:dyDescent="0.2">
      <c r="A26" s="2"/>
      <c r="B26" s="118" t="s">
        <v>160</v>
      </c>
      <c r="C26" s="36" t="s">
        <v>161</v>
      </c>
      <c r="D26" s="35" t="s">
        <v>104</v>
      </c>
      <c r="E26" s="37" t="s">
        <v>105</v>
      </c>
      <c r="F26" s="46">
        <v>2.04</v>
      </c>
      <c r="G26" s="38">
        <v>2.7</v>
      </c>
      <c r="H26" s="39">
        <f t="shared" si="0"/>
        <v>5.5080000000000009</v>
      </c>
      <c r="I26" s="53" t="s">
        <v>106</v>
      </c>
      <c r="J26" s="120" t="s">
        <v>106</v>
      </c>
      <c r="K26" s="41"/>
      <c r="L26" s="38" t="s">
        <v>108</v>
      </c>
      <c r="M26" s="38" t="s">
        <v>122</v>
      </c>
      <c r="N26" s="38" t="s">
        <v>116</v>
      </c>
      <c r="O26" s="64" t="s">
        <v>106</v>
      </c>
      <c r="P26" s="38" t="s">
        <v>122</v>
      </c>
      <c r="Q26" s="51" t="s">
        <v>116</v>
      </c>
      <c r="R26" s="60" t="s">
        <v>106</v>
      </c>
      <c r="S26" s="55" t="s">
        <v>106</v>
      </c>
      <c r="T26" s="50">
        <f t="shared" si="1"/>
        <v>0</v>
      </c>
      <c r="U26" s="58">
        <f t="shared" si="3"/>
        <v>0</v>
      </c>
      <c r="V26" s="30" t="s">
        <v>123</v>
      </c>
      <c r="W26" s="31" t="s">
        <v>117</v>
      </c>
      <c r="X26" s="48">
        <f>ROUNDUP(AA26*H26,-1)</f>
        <v>0</v>
      </c>
      <c r="Y26" s="48">
        <f t="shared" si="5"/>
        <v>0</v>
      </c>
      <c r="Z26" s="48">
        <v>30</v>
      </c>
      <c r="AA26" s="42"/>
      <c r="AB26" s="160">
        <f t="shared" si="6"/>
        <v>0</v>
      </c>
      <c r="AC26" s="160">
        <v>0</v>
      </c>
      <c r="AD26" s="42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  <c r="FP26" s="43"/>
      <c r="FQ26" s="43"/>
      <c r="FR26" s="43"/>
      <c r="FS26" s="43"/>
      <c r="FT26" s="43"/>
      <c r="FU26" s="43"/>
      <c r="FV26" s="43"/>
      <c r="FW26" s="43"/>
      <c r="FX26" s="43"/>
    </row>
    <row r="27" spans="1:180" s="2" customFormat="1" ht="12.75" x14ac:dyDescent="0.2">
      <c r="B27" s="116" t="s">
        <v>162</v>
      </c>
      <c r="C27" s="13" t="s">
        <v>163</v>
      </c>
      <c r="D27" s="12" t="s">
        <v>104</v>
      </c>
      <c r="E27" s="14" t="s">
        <v>105</v>
      </c>
      <c r="F27" s="44">
        <v>1.95</v>
      </c>
      <c r="G27" s="15">
        <v>2.7</v>
      </c>
      <c r="H27" s="16">
        <f t="shared" si="0"/>
        <v>5.2650000000000006</v>
      </c>
      <c r="I27" s="54" t="s">
        <v>106</v>
      </c>
      <c r="J27" s="121" t="s">
        <v>106</v>
      </c>
      <c r="K27" s="18"/>
      <c r="L27" s="15" t="s">
        <v>108</v>
      </c>
      <c r="M27" s="15" t="s">
        <v>122</v>
      </c>
      <c r="N27" s="15" t="s">
        <v>116</v>
      </c>
      <c r="O27" s="63" t="s">
        <v>106</v>
      </c>
      <c r="P27" s="15" t="s">
        <v>122</v>
      </c>
      <c r="Q27" s="49" t="s">
        <v>116</v>
      </c>
      <c r="R27" s="59" t="s">
        <v>106</v>
      </c>
      <c r="S27" s="56" t="s">
        <v>106</v>
      </c>
      <c r="T27" s="56">
        <f t="shared" si="1"/>
        <v>0</v>
      </c>
      <c r="U27" s="57">
        <f t="shared" si="3"/>
        <v>0</v>
      </c>
      <c r="V27" s="19" t="s">
        <v>123</v>
      </c>
      <c r="W27" s="20" t="s">
        <v>111</v>
      </c>
      <c r="X27" s="47">
        <v>0</v>
      </c>
      <c r="Y27" s="47">
        <f t="shared" si="5"/>
        <v>0</v>
      </c>
      <c r="Z27" s="47">
        <v>30</v>
      </c>
      <c r="AA27" s="21"/>
      <c r="AB27" s="159">
        <f t="shared" si="6"/>
        <v>0</v>
      </c>
      <c r="AC27" s="159">
        <v>0</v>
      </c>
      <c r="AD27" s="21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22"/>
      <c r="DI27" s="22"/>
      <c r="DJ27" s="22"/>
      <c r="DK27" s="22"/>
      <c r="DL27" s="22"/>
      <c r="DM27" s="22"/>
      <c r="DN27" s="22"/>
      <c r="DO27" s="22"/>
      <c r="DP27" s="22"/>
      <c r="DQ27" s="22"/>
      <c r="DR27" s="22"/>
      <c r="DS27" s="22"/>
      <c r="DT27" s="22"/>
      <c r="DU27" s="22"/>
      <c r="DV27" s="22"/>
      <c r="DW27" s="22"/>
      <c r="DX27" s="22"/>
      <c r="DY27" s="22"/>
      <c r="DZ27" s="22"/>
      <c r="EA27" s="22"/>
      <c r="EB27" s="22"/>
      <c r="EC27" s="22"/>
      <c r="ED27" s="22"/>
      <c r="EE27" s="22"/>
      <c r="EF27" s="22"/>
      <c r="EG27" s="22"/>
      <c r="EH27" s="22"/>
      <c r="EI27" s="22"/>
      <c r="EJ27" s="22"/>
      <c r="EK27" s="22"/>
      <c r="EL27" s="22"/>
      <c r="EM27" s="22"/>
      <c r="EN27" s="22"/>
      <c r="EO27" s="22"/>
      <c r="EP27" s="22"/>
      <c r="EQ27" s="22"/>
      <c r="ER27" s="22"/>
      <c r="ES27" s="22"/>
      <c r="ET27" s="22"/>
      <c r="EU27" s="22"/>
      <c r="EV27" s="22"/>
      <c r="EW27" s="22"/>
      <c r="EX27" s="22"/>
      <c r="EY27" s="22"/>
      <c r="EZ27" s="22"/>
      <c r="FA27" s="22"/>
      <c r="FB27" s="22"/>
      <c r="FC27" s="22"/>
      <c r="FD27" s="22"/>
      <c r="FE27" s="22"/>
      <c r="FF27" s="22"/>
      <c r="FG27" s="22"/>
      <c r="FH27" s="22"/>
      <c r="FI27" s="22"/>
      <c r="FJ27" s="22"/>
      <c r="FK27" s="22"/>
      <c r="FL27" s="22"/>
      <c r="FM27" s="22"/>
      <c r="FN27" s="22"/>
      <c r="FO27" s="22"/>
      <c r="FP27" s="22"/>
      <c r="FQ27" s="22"/>
      <c r="FR27" s="22"/>
      <c r="FS27" s="22"/>
      <c r="FT27" s="22"/>
      <c r="FU27" s="22"/>
      <c r="FV27" s="22"/>
      <c r="FW27" s="22"/>
      <c r="FX27" s="22"/>
    </row>
    <row r="28" spans="1:180" s="34" customFormat="1" ht="12.75" x14ac:dyDescent="0.2">
      <c r="A28" s="2"/>
      <c r="B28" s="118" t="s">
        <v>164</v>
      </c>
      <c r="C28" s="36" t="s">
        <v>165</v>
      </c>
      <c r="D28" s="35" t="s">
        <v>104</v>
      </c>
      <c r="E28" s="37" t="s">
        <v>105</v>
      </c>
      <c r="F28" s="46">
        <v>1.5549999999999999</v>
      </c>
      <c r="G28" s="38">
        <v>2.7</v>
      </c>
      <c r="H28" s="39">
        <f t="shared" si="0"/>
        <v>4.1985000000000001</v>
      </c>
      <c r="I28" s="53" t="s">
        <v>106</v>
      </c>
      <c r="J28" s="120" t="s">
        <v>106</v>
      </c>
      <c r="K28" s="41"/>
      <c r="L28" s="38" t="s">
        <v>108</v>
      </c>
      <c r="M28" s="38" t="s">
        <v>122</v>
      </c>
      <c r="N28" s="38" t="s">
        <v>116</v>
      </c>
      <c r="O28" s="65" t="s">
        <v>106</v>
      </c>
      <c r="P28" s="38" t="s">
        <v>122</v>
      </c>
      <c r="Q28" s="51" t="s">
        <v>116</v>
      </c>
      <c r="R28" s="60" t="s">
        <v>106</v>
      </c>
      <c r="S28" s="55" t="s">
        <v>106</v>
      </c>
      <c r="T28" s="50">
        <f t="shared" si="1"/>
        <v>0</v>
      </c>
      <c r="U28" s="58">
        <f t="shared" si="3"/>
        <v>0</v>
      </c>
      <c r="V28" s="30" t="s">
        <v>123</v>
      </c>
      <c r="W28" s="31" t="s">
        <v>117</v>
      </c>
      <c r="X28" s="48">
        <v>0</v>
      </c>
      <c r="Y28" s="48">
        <f t="shared" si="5"/>
        <v>0</v>
      </c>
      <c r="Z28" s="48">
        <v>30</v>
      </c>
      <c r="AA28" s="42"/>
      <c r="AB28" s="160">
        <f t="shared" si="6"/>
        <v>0</v>
      </c>
      <c r="AC28" s="160">
        <v>0</v>
      </c>
      <c r="AD28" s="42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  <c r="FP28" s="43"/>
      <c r="FQ28" s="43"/>
      <c r="FR28" s="43"/>
      <c r="FS28" s="43"/>
      <c r="FT28" s="43"/>
      <c r="FU28" s="43"/>
      <c r="FV28" s="43"/>
      <c r="FW28" s="43"/>
      <c r="FX28" s="43"/>
    </row>
    <row r="29" spans="1:180" s="2" customFormat="1" ht="12.75" x14ac:dyDescent="0.2">
      <c r="B29" s="116" t="s">
        <v>166</v>
      </c>
      <c r="C29" s="13" t="s">
        <v>167</v>
      </c>
      <c r="D29" s="12" t="s">
        <v>104</v>
      </c>
      <c r="E29" s="14" t="s">
        <v>105</v>
      </c>
      <c r="F29" s="44">
        <v>2.04</v>
      </c>
      <c r="G29" s="15">
        <v>2.7</v>
      </c>
      <c r="H29" s="16">
        <f t="shared" si="0"/>
        <v>5.5080000000000009</v>
      </c>
      <c r="I29" s="54" t="s">
        <v>106</v>
      </c>
      <c r="J29" s="121" t="s">
        <v>106</v>
      </c>
      <c r="K29" s="18"/>
      <c r="L29" s="15" t="s">
        <v>108</v>
      </c>
      <c r="M29" s="15" t="s">
        <v>122</v>
      </c>
      <c r="N29" s="15" t="s">
        <v>116</v>
      </c>
      <c r="O29" s="63" t="s">
        <v>106</v>
      </c>
      <c r="P29" s="15" t="s">
        <v>122</v>
      </c>
      <c r="Q29" s="49" t="s">
        <v>116</v>
      </c>
      <c r="R29" s="59" t="s">
        <v>106</v>
      </c>
      <c r="S29" s="56" t="s">
        <v>106</v>
      </c>
      <c r="T29" s="56">
        <f t="shared" si="1"/>
        <v>0</v>
      </c>
      <c r="U29" s="57">
        <f t="shared" si="3"/>
        <v>0</v>
      </c>
      <c r="V29" s="19" t="s">
        <v>123</v>
      </c>
      <c r="W29" s="20" t="s">
        <v>111</v>
      </c>
      <c r="X29" s="47">
        <v>0</v>
      </c>
      <c r="Y29" s="47">
        <f t="shared" si="5"/>
        <v>0</v>
      </c>
      <c r="Z29" s="47">
        <v>30</v>
      </c>
      <c r="AA29" s="21"/>
      <c r="AB29" s="159">
        <f t="shared" si="6"/>
        <v>0</v>
      </c>
      <c r="AC29" s="159">
        <v>0</v>
      </c>
      <c r="AD29" s="21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  <c r="DF29" s="22"/>
      <c r="DG29" s="22"/>
      <c r="DH29" s="22"/>
      <c r="DI29" s="22"/>
      <c r="DJ29" s="22"/>
      <c r="DK29" s="22"/>
      <c r="DL29" s="22"/>
      <c r="DM29" s="22"/>
      <c r="DN29" s="22"/>
      <c r="DO29" s="22"/>
      <c r="DP29" s="22"/>
      <c r="DQ29" s="22"/>
      <c r="DR29" s="22"/>
      <c r="DS29" s="22"/>
      <c r="DT29" s="22"/>
      <c r="DU29" s="22"/>
      <c r="DV29" s="22"/>
      <c r="DW29" s="22"/>
      <c r="DX29" s="22"/>
      <c r="DY29" s="22"/>
      <c r="DZ29" s="22"/>
      <c r="EA29" s="22"/>
      <c r="EB29" s="22"/>
      <c r="EC29" s="22"/>
      <c r="ED29" s="22"/>
      <c r="EE29" s="22"/>
      <c r="EF29" s="22"/>
      <c r="EG29" s="22"/>
      <c r="EH29" s="22"/>
      <c r="EI29" s="22"/>
      <c r="EJ29" s="22"/>
      <c r="EK29" s="22"/>
      <c r="EL29" s="22"/>
      <c r="EM29" s="22"/>
      <c r="EN29" s="22"/>
      <c r="EO29" s="22"/>
      <c r="EP29" s="22"/>
      <c r="EQ29" s="22"/>
      <c r="ER29" s="22"/>
      <c r="ES29" s="22"/>
      <c r="ET29" s="22"/>
      <c r="EU29" s="22"/>
      <c r="EV29" s="22"/>
      <c r="EW29" s="22"/>
      <c r="EX29" s="22"/>
      <c r="EY29" s="22"/>
      <c r="EZ29" s="22"/>
      <c r="FA29" s="22"/>
      <c r="FB29" s="22"/>
      <c r="FC29" s="22"/>
      <c r="FD29" s="22"/>
      <c r="FE29" s="22"/>
      <c r="FF29" s="22"/>
      <c r="FG29" s="22"/>
      <c r="FH29" s="22"/>
      <c r="FI29" s="22"/>
      <c r="FJ29" s="22"/>
      <c r="FK29" s="22"/>
      <c r="FL29" s="22"/>
      <c r="FM29" s="22"/>
      <c r="FN29" s="22"/>
      <c r="FO29" s="22"/>
      <c r="FP29" s="22"/>
      <c r="FQ29" s="22"/>
      <c r="FR29" s="22"/>
      <c r="FS29" s="22"/>
      <c r="FT29" s="22"/>
      <c r="FU29" s="22"/>
      <c r="FV29" s="22"/>
      <c r="FW29" s="22"/>
      <c r="FX29" s="22"/>
    </row>
    <row r="30" spans="1:180" s="34" customFormat="1" ht="12.75" x14ac:dyDescent="0.2">
      <c r="A30" s="2"/>
      <c r="B30" s="118" t="s">
        <v>168</v>
      </c>
      <c r="C30" s="36" t="s">
        <v>169</v>
      </c>
      <c r="D30" s="35" t="s">
        <v>104</v>
      </c>
      <c r="E30" s="37" t="s">
        <v>105</v>
      </c>
      <c r="F30" s="46">
        <v>2.04</v>
      </c>
      <c r="G30" s="38">
        <v>2.7</v>
      </c>
      <c r="H30" s="39">
        <f t="shared" si="0"/>
        <v>5.5080000000000009</v>
      </c>
      <c r="I30" s="53" t="s">
        <v>106</v>
      </c>
      <c r="J30" s="120" t="s">
        <v>106</v>
      </c>
      <c r="K30" s="41"/>
      <c r="L30" s="38" t="s">
        <v>108</v>
      </c>
      <c r="M30" s="38" t="s">
        <v>122</v>
      </c>
      <c r="N30" s="38" t="s">
        <v>116</v>
      </c>
      <c r="O30" s="65" t="s">
        <v>106</v>
      </c>
      <c r="P30" s="38" t="s">
        <v>122</v>
      </c>
      <c r="Q30" s="51" t="s">
        <v>116</v>
      </c>
      <c r="R30" s="60" t="s">
        <v>106</v>
      </c>
      <c r="S30" s="55" t="s">
        <v>106</v>
      </c>
      <c r="T30" s="50">
        <f t="shared" si="1"/>
        <v>0</v>
      </c>
      <c r="U30" s="58">
        <f t="shared" si="3"/>
        <v>0</v>
      </c>
      <c r="V30" s="30" t="s">
        <v>123</v>
      </c>
      <c r="W30" s="31" t="s">
        <v>117</v>
      </c>
      <c r="X30" s="48">
        <v>0</v>
      </c>
      <c r="Y30" s="48">
        <f t="shared" si="5"/>
        <v>0</v>
      </c>
      <c r="Z30" s="48">
        <v>30</v>
      </c>
      <c r="AA30" s="42"/>
      <c r="AB30" s="39">
        <f t="shared" si="6"/>
        <v>0</v>
      </c>
      <c r="AC30" s="39">
        <f t="shared" ref="AC30:AC36" si="7">SUM(AJ30,AN30,AR30,AX30,BC30,BI30,BP30,BU30,BZ30,CE30,CI30,CL30,CP30,DF30,DK30,DP30,DS30,EC30,EG30,EK30,FI30)</f>
        <v>0</v>
      </c>
      <c r="AD30" s="42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  <c r="FP30" s="43"/>
      <c r="FQ30" s="43"/>
      <c r="FR30" s="43"/>
      <c r="FS30" s="43"/>
      <c r="FT30" s="43"/>
      <c r="FU30" s="43"/>
      <c r="FV30" s="43"/>
      <c r="FW30" s="43"/>
      <c r="FX30" s="43"/>
    </row>
    <row r="31" spans="1:180" s="2" customFormat="1" ht="12.75" x14ac:dyDescent="0.2">
      <c r="B31" s="116" t="s">
        <v>170</v>
      </c>
      <c r="C31" s="13" t="s">
        <v>171</v>
      </c>
      <c r="D31" s="12" t="s">
        <v>104</v>
      </c>
      <c r="E31" s="14" t="s">
        <v>105</v>
      </c>
      <c r="F31" s="44">
        <v>3.45</v>
      </c>
      <c r="G31" s="15">
        <v>2.7</v>
      </c>
      <c r="H31" s="16">
        <f t="shared" si="0"/>
        <v>9.3150000000000013</v>
      </c>
      <c r="I31" s="54" t="s">
        <v>106</v>
      </c>
      <c r="J31" s="121" t="s">
        <v>106</v>
      </c>
      <c r="K31" s="18" t="s">
        <v>107</v>
      </c>
      <c r="L31" s="15" t="s">
        <v>108</v>
      </c>
      <c r="M31" s="15" t="s">
        <v>122</v>
      </c>
      <c r="N31" s="15" t="s">
        <v>116</v>
      </c>
      <c r="O31" s="63" t="s">
        <v>106</v>
      </c>
      <c r="P31" s="15" t="s">
        <v>122</v>
      </c>
      <c r="Q31" s="49" t="s">
        <v>116</v>
      </c>
      <c r="R31" s="59" t="s">
        <v>106</v>
      </c>
      <c r="S31" s="56" t="s">
        <v>106</v>
      </c>
      <c r="T31" s="56">
        <f t="shared" si="1"/>
        <v>0</v>
      </c>
      <c r="U31" s="57">
        <f t="shared" si="3"/>
        <v>0</v>
      </c>
      <c r="V31" s="19" t="s">
        <v>123</v>
      </c>
      <c r="W31" s="20" t="s">
        <v>111</v>
      </c>
      <c r="X31" s="47">
        <v>0</v>
      </c>
      <c r="Y31" s="47">
        <f t="shared" si="5"/>
        <v>0</v>
      </c>
      <c r="Z31" s="47">
        <v>30</v>
      </c>
      <c r="AA31" s="21"/>
      <c r="AB31" s="47">
        <f t="shared" si="6"/>
        <v>0</v>
      </c>
      <c r="AC31" s="47">
        <f t="shared" si="7"/>
        <v>0</v>
      </c>
      <c r="AD31" s="21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22"/>
      <c r="BW31" s="22"/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22"/>
      <c r="CN31" s="22"/>
      <c r="CO31" s="22"/>
      <c r="CP31" s="22"/>
      <c r="CQ31" s="22"/>
      <c r="CR31" s="22"/>
      <c r="CS31" s="22"/>
      <c r="CT31" s="22"/>
      <c r="CU31" s="22"/>
      <c r="CV31" s="22"/>
      <c r="CW31" s="22"/>
      <c r="CX31" s="22"/>
      <c r="CY31" s="22"/>
      <c r="CZ31" s="22"/>
      <c r="DA31" s="22"/>
      <c r="DB31" s="22"/>
      <c r="DC31" s="22"/>
      <c r="DD31" s="22"/>
      <c r="DE31" s="22"/>
      <c r="DF31" s="22"/>
      <c r="DG31" s="22"/>
      <c r="DH31" s="22"/>
      <c r="DI31" s="22"/>
      <c r="DJ31" s="22"/>
      <c r="DK31" s="22"/>
      <c r="DL31" s="22"/>
      <c r="DM31" s="22"/>
      <c r="DN31" s="22"/>
      <c r="DO31" s="22"/>
      <c r="DP31" s="22"/>
      <c r="DQ31" s="22"/>
      <c r="DR31" s="22"/>
      <c r="DS31" s="22"/>
      <c r="DT31" s="22"/>
      <c r="DU31" s="22"/>
      <c r="DV31" s="22"/>
      <c r="DW31" s="22"/>
      <c r="DX31" s="22"/>
      <c r="DY31" s="22"/>
      <c r="DZ31" s="22"/>
      <c r="EA31" s="22"/>
      <c r="EB31" s="22"/>
      <c r="EC31" s="22"/>
      <c r="ED31" s="22"/>
      <c r="EE31" s="22"/>
      <c r="EF31" s="22"/>
      <c r="EG31" s="22"/>
      <c r="EH31" s="22"/>
      <c r="EI31" s="22"/>
      <c r="EJ31" s="22"/>
      <c r="EK31" s="22"/>
      <c r="EL31" s="22"/>
      <c r="EM31" s="22"/>
      <c r="EN31" s="22"/>
      <c r="EO31" s="22"/>
      <c r="EP31" s="22"/>
      <c r="EQ31" s="22"/>
      <c r="ER31" s="22"/>
      <c r="ES31" s="22"/>
      <c r="ET31" s="22"/>
      <c r="EU31" s="22"/>
      <c r="EV31" s="22"/>
      <c r="EW31" s="22"/>
      <c r="EX31" s="22"/>
      <c r="EY31" s="22"/>
      <c r="EZ31" s="22"/>
      <c r="FA31" s="22"/>
      <c r="FB31" s="22"/>
      <c r="FC31" s="22"/>
      <c r="FD31" s="22"/>
      <c r="FE31" s="22"/>
      <c r="FF31" s="22"/>
      <c r="FG31" s="22"/>
      <c r="FH31" s="22"/>
      <c r="FI31" s="22"/>
      <c r="FJ31" s="22"/>
      <c r="FK31" s="22"/>
      <c r="FL31" s="22"/>
      <c r="FM31" s="22"/>
      <c r="FN31" s="22"/>
      <c r="FO31" s="22"/>
      <c r="FP31" s="22"/>
      <c r="FQ31" s="22"/>
      <c r="FR31" s="22"/>
      <c r="FS31" s="22"/>
      <c r="FT31" s="22"/>
      <c r="FU31" s="22"/>
      <c r="FV31" s="22"/>
      <c r="FW31" s="22"/>
      <c r="FX31" s="22"/>
    </row>
    <row r="32" spans="1:180" s="34" customFormat="1" ht="12.75" x14ac:dyDescent="0.2">
      <c r="A32" s="2"/>
      <c r="B32" s="118" t="s">
        <v>172</v>
      </c>
      <c r="C32" s="36" t="s">
        <v>173</v>
      </c>
      <c r="D32" s="35" t="s">
        <v>104</v>
      </c>
      <c r="E32" s="37" t="s">
        <v>105</v>
      </c>
      <c r="F32" s="46">
        <v>24.13</v>
      </c>
      <c r="G32" s="38">
        <v>2.7</v>
      </c>
      <c r="H32" s="39">
        <f t="shared" si="0"/>
        <v>65.150999999999996</v>
      </c>
      <c r="I32" s="53" t="s">
        <v>106</v>
      </c>
      <c r="J32" s="120" t="s">
        <v>116</v>
      </c>
      <c r="K32" s="41" t="s">
        <v>107</v>
      </c>
      <c r="L32" s="38" t="s">
        <v>108</v>
      </c>
      <c r="M32" s="27" t="s">
        <v>109</v>
      </c>
      <c r="N32" s="38">
        <v>22</v>
      </c>
      <c r="O32" s="46">
        <f>45*F32</f>
        <v>1085.8499999999999</v>
      </c>
      <c r="P32" s="27" t="s">
        <v>109</v>
      </c>
      <c r="Q32" s="51">
        <v>22</v>
      </c>
      <c r="R32" s="58">
        <f>F32*12</f>
        <v>289.56</v>
      </c>
      <c r="S32" s="55" t="s">
        <v>106</v>
      </c>
      <c r="T32" s="55">
        <f t="shared" si="1"/>
        <v>1600</v>
      </c>
      <c r="U32" s="58">
        <f t="shared" si="3"/>
        <v>1889.56</v>
      </c>
      <c r="V32" s="30" t="s">
        <v>110</v>
      </c>
      <c r="W32" s="31" t="s">
        <v>117</v>
      </c>
      <c r="X32" s="48">
        <f t="shared" ref="X32:X37" si="8">ROUNDUP(AA32*H32,-1)</f>
        <v>140</v>
      </c>
      <c r="Y32" s="48">
        <f t="shared" si="5"/>
        <v>140</v>
      </c>
      <c r="Z32" s="48">
        <f t="shared" ref="Z32:Z37" si="9">ROUNDUP(IF($J32="+",($X32-$H32*0.5),IF($J32="++",($X32-$H32*1),IF($J32="+++",($X32-$H32*1.5),IF($J32="-",($X32+$H32*0.5),IF($J32="--",($X32+$H32*1),IF($J32="---",($X32+$H32*1.5),$X32)))))),-1)</f>
        <v>140</v>
      </c>
      <c r="AA32" s="42">
        <v>2</v>
      </c>
      <c r="AB32" s="48">
        <f t="shared" ref="AB32" si="10">ROUNDUP(SUM(AE32*AH32,AJ32*AM32,AN32*AQ32,AT32*AW32,AX32*BA32,BE32*BH32,BL32*BO32,BP32*BS32,BU32*BX32,BZ32*CC32,CE32*CG32,CI32*CK32,CL32*CO32,DB32*DE32,DF32*DI32,DK32*DN32,DP32*DR32,DY32*EB32,EC32*EF32,EG32*EJ32,CW32*CX32,EV32*EW32,EY32*EZ32,FC32*FD32,FH32),-1)</f>
        <v>10</v>
      </c>
      <c r="AC32" s="48">
        <f>ROUNDUP(SUM(AE32*AI32,AJ32*AM32,AN32*AQ32,AT32*AW32,AX32*BB32,BE32*BH32,BL32*BO32,BP32*BT32,BU32*BY32,BZ32*CD32,CE32*CH32,CI32*CK32,CL32*CO32,DB32*DE32,DF32*DJ32,DK32*DN32,DP32*DR32,DY32*EB32,EC32*EF32,EG32*EJ32,CW32*CY32,EV32*EX32,EY32*FA32,FC32*FE32,FH32),-1)</f>
        <v>10</v>
      </c>
      <c r="AD32" s="43" t="s">
        <v>120</v>
      </c>
      <c r="AE32" s="43"/>
      <c r="AF32" s="43"/>
      <c r="AG32" s="43"/>
      <c r="AH32" s="43"/>
      <c r="AI32" s="43"/>
      <c r="AJ32" s="43"/>
      <c r="AK32" s="43"/>
      <c r="AL32" s="43"/>
      <c r="AM32" s="43"/>
      <c r="AN32" s="43">
        <v>1</v>
      </c>
      <c r="AO32" s="43"/>
      <c r="AP32" s="43" t="s">
        <v>113</v>
      </c>
      <c r="AQ32" s="43">
        <v>10</v>
      </c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  <c r="FP32" s="43"/>
      <c r="FQ32" s="43">
        <v>4</v>
      </c>
      <c r="FR32" s="43">
        <v>400</v>
      </c>
      <c r="FS32" s="43"/>
      <c r="FT32" s="43"/>
      <c r="FU32" s="43"/>
      <c r="FV32" s="43"/>
      <c r="FW32" s="43"/>
      <c r="FX32" s="43"/>
    </row>
    <row r="33" spans="1:180" s="2" customFormat="1" ht="12.75" x14ac:dyDescent="0.2">
      <c r="B33" s="116" t="s">
        <v>174</v>
      </c>
      <c r="C33" s="13" t="s">
        <v>175</v>
      </c>
      <c r="D33" s="12" t="s">
        <v>104</v>
      </c>
      <c r="E33" s="14" t="s">
        <v>105</v>
      </c>
      <c r="F33" s="44">
        <v>22.87</v>
      </c>
      <c r="G33" s="15">
        <v>2.7</v>
      </c>
      <c r="H33" s="16">
        <f t="shared" si="0"/>
        <v>61.749000000000009</v>
      </c>
      <c r="I33" s="54" t="s">
        <v>106</v>
      </c>
      <c r="J33" s="121" t="s">
        <v>116</v>
      </c>
      <c r="K33" s="18" t="s">
        <v>107</v>
      </c>
      <c r="L33" s="15" t="s">
        <v>108</v>
      </c>
      <c r="M33" s="15" t="s">
        <v>176</v>
      </c>
      <c r="N33" s="15">
        <v>22</v>
      </c>
      <c r="O33" s="62" t="s">
        <v>106</v>
      </c>
      <c r="P33" s="15" t="s">
        <v>176</v>
      </c>
      <c r="Q33" s="49">
        <v>22</v>
      </c>
      <c r="R33" s="59" t="s">
        <v>106</v>
      </c>
      <c r="S33" s="56" t="s">
        <v>106</v>
      </c>
      <c r="T33" s="56">
        <v>6000</v>
      </c>
      <c r="U33" s="57">
        <f t="shared" si="3"/>
        <v>6000</v>
      </c>
      <c r="V33" s="19" t="s">
        <v>110</v>
      </c>
      <c r="W33" s="20" t="s">
        <v>111</v>
      </c>
      <c r="X33" s="47">
        <f t="shared" si="8"/>
        <v>70</v>
      </c>
      <c r="Y33" s="47">
        <f t="shared" si="5"/>
        <v>70</v>
      </c>
      <c r="Z33" s="47">
        <f t="shared" si="9"/>
        <v>70</v>
      </c>
      <c r="AA33" s="21">
        <v>1</v>
      </c>
      <c r="AB33" s="47">
        <f t="shared" si="6"/>
        <v>0</v>
      </c>
      <c r="AC33" s="47">
        <f t="shared" si="7"/>
        <v>0</v>
      </c>
      <c r="AD33" s="21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22"/>
      <c r="BV33" s="22"/>
      <c r="BW33" s="22"/>
      <c r="BX33" s="22"/>
      <c r="BY33" s="22"/>
      <c r="BZ33" s="22"/>
      <c r="CA33" s="22"/>
      <c r="CB33" s="22"/>
      <c r="CC33" s="22"/>
      <c r="CD33" s="22"/>
      <c r="CE33" s="22"/>
      <c r="CF33" s="22"/>
      <c r="CG33" s="22"/>
      <c r="CH33" s="22"/>
      <c r="CI33" s="22"/>
      <c r="CJ33" s="22"/>
      <c r="CK33" s="22"/>
      <c r="CL33" s="22"/>
      <c r="CM33" s="22"/>
      <c r="CN33" s="22"/>
      <c r="CO33" s="22"/>
      <c r="CP33" s="22"/>
      <c r="CQ33" s="22"/>
      <c r="CR33" s="22"/>
      <c r="CS33" s="22"/>
      <c r="CT33" s="22"/>
      <c r="CU33" s="22"/>
      <c r="CV33" s="22"/>
      <c r="CW33" s="22"/>
      <c r="CX33" s="22"/>
      <c r="CY33" s="22"/>
      <c r="CZ33" s="22"/>
      <c r="DA33" s="22"/>
      <c r="DB33" s="22"/>
      <c r="DC33" s="22"/>
      <c r="DD33" s="22"/>
      <c r="DE33" s="22"/>
      <c r="DF33" s="22"/>
      <c r="DG33" s="22"/>
      <c r="DH33" s="22"/>
      <c r="DI33" s="22"/>
      <c r="DJ33" s="22"/>
      <c r="DK33" s="22"/>
      <c r="DL33" s="22"/>
      <c r="DM33" s="22"/>
      <c r="DN33" s="22"/>
      <c r="DO33" s="22"/>
      <c r="DP33" s="22"/>
      <c r="DQ33" s="22"/>
      <c r="DR33" s="22"/>
      <c r="DS33" s="22"/>
      <c r="DT33" s="22"/>
      <c r="DU33" s="22"/>
      <c r="DV33" s="22"/>
      <c r="DW33" s="22"/>
      <c r="DX33" s="22"/>
      <c r="DY33" s="22"/>
      <c r="DZ33" s="22"/>
      <c r="EA33" s="22"/>
      <c r="EB33" s="22"/>
      <c r="EC33" s="22"/>
      <c r="ED33" s="22"/>
      <c r="EE33" s="22"/>
      <c r="EF33" s="22"/>
      <c r="EG33" s="22"/>
      <c r="EH33" s="22"/>
      <c r="EI33" s="22"/>
      <c r="EJ33" s="22"/>
      <c r="EK33" s="22"/>
      <c r="EL33" s="22"/>
      <c r="EM33" s="22"/>
      <c r="EN33" s="22"/>
      <c r="EO33" s="22"/>
      <c r="EP33" s="22"/>
      <c r="EQ33" s="22"/>
      <c r="ER33" s="22"/>
      <c r="ES33" s="22"/>
      <c r="ET33" s="22"/>
      <c r="EU33" s="22"/>
      <c r="EV33" s="22"/>
      <c r="EW33" s="22"/>
      <c r="EX33" s="22"/>
      <c r="EY33" s="22"/>
      <c r="EZ33" s="22"/>
      <c r="FA33" s="22"/>
      <c r="FB33" s="22"/>
      <c r="FC33" s="22"/>
      <c r="FD33" s="22"/>
      <c r="FE33" s="22"/>
      <c r="FF33" s="22"/>
      <c r="FG33" s="22"/>
      <c r="FH33" s="22"/>
      <c r="FI33" s="22"/>
      <c r="FJ33" s="22"/>
      <c r="FK33" s="22"/>
      <c r="FL33" s="22"/>
      <c r="FM33" s="22"/>
      <c r="FN33" s="22"/>
      <c r="FO33" s="22"/>
      <c r="FP33" s="22"/>
      <c r="FQ33" s="22"/>
      <c r="FR33" s="22"/>
      <c r="FS33" s="22"/>
      <c r="FT33" s="22"/>
      <c r="FU33" s="22"/>
      <c r="FV33" s="22"/>
      <c r="FW33" s="22"/>
      <c r="FX33" s="22"/>
    </row>
    <row r="34" spans="1:180" s="34" customFormat="1" ht="12.75" x14ac:dyDescent="0.2">
      <c r="A34" s="2"/>
      <c r="B34" s="118" t="s">
        <v>177</v>
      </c>
      <c r="C34" s="36" t="s">
        <v>178</v>
      </c>
      <c r="D34" s="35" t="s">
        <v>104</v>
      </c>
      <c r="E34" s="37" t="s">
        <v>105</v>
      </c>
      <c r="F34" s="46">
        <v>23.27</v>
      </c>
      <c r="G34" s="38">
        <v>2.7</v>
      </c>
      <c r="H34" s="39">
        <f t="shared" si="0"/>
        <v>62.829000000000001</v>
      </c>
      <c r="I34" s="40">
        <v>2</v>
      </c>
      <c r="J34" s="119" t="s">
        <v>116</v>
      </c>
      <c r="K34" s="41" t="s">
        <v>107</v>
      </c>
      <c r="L34" s="38" t="s">
        <v>108</v>
      </c>
      <c r="M34" s="27" t="s">
        <v>109</v>
      </c>
      <c r="N34" s="38">
        <v>22</v>
      </c>
      <c r="O34" s="45">
        <f>F34*40</f>
        <v>930.8</v>
      </c>
      <c r="P34" s="27" t="s">
        <v>109</v>
      </c>
      <c r="Q34" s="51">
        <v>22</v>
      </c>
      <c r="R34" s="58">
        <f>F34*12</f>
        <v>279.24</v>
      </c>
      <c r="S34" s="50">
        <f t="shared" si="4"/>
        <v>160</v>
      </c>
      <c r="T34" s="50">
        <f>SUM(AE34*AF34,AJ34*AK34,AN34*AO34,AR34*AS34,AT34*AU34,AX34*AY34,BC34*BD34,BE34*BF34,BJ34*BK34,BL34*BM34,BP34*BQ34,BU34*BV34,BZ34*CA34,CL34*CM34,CP34*CQ34,CR34*CS34,CU34*CV34,CZ34*DA34,DB34*DC34,DF34*DG34,DK34*DL34,DS34*DT34,DU34*DV34,DW34*DX34,DY34*DZ34,EC34*ED34,EG34*EH34,EK34*EL34,EN34*EO34,ER34*ES34,ET34*EU34,FJ34*FK34,FL34*FM34,FQ34*FR34,FS34*FT34)</f>
        <v>0</v>
      </c>
      <c r="U34" s="58">
        <f t="shared" si="3"/>
        <v>439.24</v>
      </c>
      <c r="V34" s="30" t="s">
        <v>110</v>
      </c>
      <c r="W34" s="31" t="s">
        <v>117</v>
      </c>
      <c r="X34" s="48">
        <f t="shared" si="8"/>
        <v>130</v>
      </c>
      <c r="Y34" s="48">
        <f t="shared" si="5"/>
        <v>130</v>
      </c>
      <c r="Z34" s="48">
        <f t="shared" si="9"/>
        <v>130</v>
      </c>
      <c r="AA34" s="42">
        <v>2</v>
      </c>
      <c r="AB34" s="48">
        <f t="shared" si="6"/>
        <v>0</v>
      </c>
      <c r="AC34" s="48">
        <f t="shared" si="7"/>
        <v>0</v>
      </c>
      <c r="AD34" s="42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  <c r="FP34" s="43"/>
      <c r="FQ34" s="43"/>
      <c r="FR34" s="43"/>
      <c r="FS34" s="43"/>
      <c r="FT34" s="43"/>
      <c r="FU34" s="43"/>
      <c r="FV34" s="43"/>
      <c r="FW34" s="43"/>
      <c r="FX34" s="43"/>
    </row>
    <row r="35" spans="1:180" s="2" customFormat="1" ht="12.75" x14ac:dyDescent="0.2">
      <c r="B35" s="116" t="s">
        <v>179</v>
      </c>
      <c r="C35" s="13" t="s">
        <v>180</v>
      </c>
      <c r="D35" s="12" t="s">
        <v>104</v>
      </c>
      <c r="E35" s="14" t="s">
        <v>105</v>
      </c>
      <c r="F35" s="44">
        <v>23.31</v>
      </c>
      <c r="G35" s="15">
        <v>2.7</v>
      </c>
      <c r="H35" s="16">
        <f t="shared" si="0"/>
        <v>62.936999999999998</v>
      </c>
      <c r="I35" s="54">
        <v>4</v>
      </c>
      <c r="J35" s="121" t="s">
        <v>116</v>
      </c>
      <c r="K35" s="18" t="s">
        <v>107</v>
      </c>
      <c r="L35" s="15" t="s">
        <v>108</v>
      </c>
      <c r="M35" s="15" t="s">
        <v>109</v>
      </c>
      <c r="N35" s="15">
        <v>22</v>
      </c>
      <c r="O35" s="63">
        <f>45*F35</f>
        <v>1048.95</v>
      </c>
      <c r="P35" s="15" t="s">
        <v>109</v>
      </c>
      <c r="Q35" s="49">
        <v>22</v>
      </c>
      <c r="R35" s="59">
        <f>F35*6</f>
        <v>139.85999999999999</v>
      </c>
      <c r="S35" s="56">
        <f t="shared" si="4"/>
        <v>320</v>
      </c>
      <c r="T35" s="56">
        <f>150*4</f>
        <v>600</v>
      </c>
      <c r="U35" s="57">
        <f t="shared" si="3"/>
        <v>1059.8600000000001</v>
      </c>
      <c r="V35" s="19" t="s">
        <v>110</v>
      </c>
      <c r="W35" s="20" t="s">
        <v>117</v>
      </c>
      <c r="X35" s="47">
        <f t="shared" si="8"/>
        <v>70</v>
      </c>
      <c r="Y35" s="47">
        <f>ROUNDUP(IF($J35="+",($X35-$H35*0.5),IF($J35="++",($X35-$H35*1),IF($J35="+++",($X35-$H35*1.5),IF($J35="-",($X35+$H35*0.5),IF($J35="--",($X35+$H35*1),IF($J35="---",($X35+$H35*1.5),$X35)))))),-1)</f>
        <v>70</v>
      </c>
      <c r="Z35" s="47">
        <f t="shared" si="9"/>
        <v>70</v>
      </c>
      <c r="AA35" s="21">
        <v>1</v>
      </c>
      <c r="AB35" s="47">
        <f t="shared" si="6"/>
        <v>0</v>
      </c>
      <c r="AC35" s="47">
        <f t="shared" si="7"/>
        <v>0</v>
      </c>
      <c r="AD35" s="21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2"/>
      <c r="BP35" s="22"/>
      <c r="BQ35" s="22"/>
      <c r="BR35" s="22"/>
      <c r="BS35" s="22"/>
      <c r="BT35" s="22"/>
      <c r="BU35" s="22"/>
      <c r="BV35" s="22"/>
      <c r="BW35" s="22"/>
      <c r="BX35" s="22"/>
      <c r="BY35" s="22"/>
      <c r="BZ35" s="22"/>
      <c r="CA35" s="22"/>
      <c r="CB35" s="22"/>
      <c r="CC35" s="22"/>
      <c r="CD35" s="22"/>
      <c r="CE35" s="22"/>
      <c r="CF35" s="22"/>
      <c r="CG35" s="22"/>
      <c r="CH35" s="22"/>
      <c r="CI35" s="22"/>
      <c r="CJ35" s="22"/>
      <c r="CK35" s="22"/>
      <c r="CL35" s="22"/>
      <c r="CM35" s="22"/>
      <c r="CN35" s="22"/>
      <c r="CO35" s="22"/>
      <c r="CP35" s="22"/>
      <c r="CQ35" s="22"/>
      <c r="CR35" s="22"/>
      <c r="CS35" s="22"/>
      <c r="CT35" s="22"/>
      <c r="CU35" s="22"/>
      <c r="CV35" s="22"/>
      <c r="CW35" s="22"/>
      <c r="CX35" s="22"/>
      <c r="CY35" s="22"/>
      <c r="CZ35" s="22"/>
      <c r="DA35" s="22"/>
      <c r="DB35" s="22"/>
      <c r="DC35" s="22"/>
      <c r="DD35" s="22"/>
      <c r="DE35" s="22"/>
      <c r="DF35" s="22"/>
      <c r="DG35" s="22"/>
      <c r="DH35" s="22"/>
      <c r="DI35" s="22"/>
      <c r="DJ35" s="22"/>
      <c r="DK35" s="22"/>
      <c r="DL35" s="22"/>
      <c r="DM35" s="22"/>
      <c r="DN35" s="22"/>
      <c r="DO35" s="22"/>
      <c r="DP35" s="22"/>
      <c r="DQ35" s="22"/>
      <c r="DR35" s="22"/>
      <c r="DS35" s="22"/>
      <c r="DT35" s="22"/>
      <c r="DU35" s="22"/>
      <c r="DV35" s="22"/>
      <c r="DW35" s="22"/>
      <c r="DX35" s="22"/>
      <c r="DY35" s="22"/>
      <c r="DZ35" s="22"/>
      <c r="EA35" s="22"/>
      <c r="EB35" s="22"/>
      <c r="EC35" s="22"/>
      <c r="ED35" s="22"/>
      <c r="EE35" s="22"/>
      <c r="EF35" s="22"/>
      <c r="EG35" s="22"/>
      <c r="EH35" s="22"/>
      <c r="EI35" s="22"/>
      <c r="EJ35" s="22"/>
      <c r="EK35" s="22"/>
      <c r="EL35" s="22"/>
      <c r="EM35" s="22"/>
      <c r="EN35" s="22"/>
      <c r="EO35" s="22"/>
      <c r="EP35" s="22"/>
      <c r="EQ35" s="22"/>
      <c r="ER35" s="22"/>
      <c r="ES35" s="22"/>
      <c r="ET35" s="22"/>
      <c r="EU35" s="22"/>
      <c r="EV35" s="22"/>
      <c r="EW35" s="22"/>
      <c r="EX35" s="22"/>
      <c r="EY35" s="22"/>
      <c r="EZ35" s="22"/>
      <c r="FA35" s="22"/>
      <c r="FB35" s="22"/>
      <c r="FC35" s="22"/>
      <c r="FD35" s="22"/>
      <c r="FE35" s="22"/>
      <c r="FF35" s="22"/>
      <c r="FG35" s="22"/>
      <c r="FH35" s="22"/>
      <c r="FI35" s="22"/>
      <c r="FJ35" s="22"/>
      <c r="FK35" s="22"/>
      <c r="FL35" s="22"/>
      <c r="FM35" s="22"/>
      <c r="FN35" s="22"/>
      <c r="FO35" s="22"/>
      <c r="FP35" s="22"/>
      <c r="FQ35" s="22"/>
      <c r="FR35" s="22"/>
      <c r="FS35" s="22"/>
      <c r="FT35" s="22"/>
      <c r="FU35" s="22"/>
      <c r="FV35" s="22"/>
      <c r="FW35" s="22"/>
      <c r="FX35" s="22"/>
    </row>
    <row r="36" spans="1:180" s="34" customFormat="1" ht="12.75" x14ac:dyDescent="0.2">
      <c r="A36" s="2"/>
      <c r="B36" s="216" t="s">
        <v>181</v>
      </c>
      <c r="C36" s="36" t="s">
        <v>182</v>
      </c>
      <c r="D36" s="35" t="s">
        <v>104</v>
      </c>
      <c r="E36" s="37" t="s">
        <v>105</v>
      </c>
      <c r="F36" s="46">
        <v>35.47</v>
      </c>
      <c r="G36" s="38">
        <v>2.7</v>
      </c>
      <c r="H36" s="39">
        <f t="shared" si="0"/>
        <v>95.769000000000005</v>
      </c>
      <c r="I36" s="53">
        <v>4</v>
      </c>
      <c r="J36" s="120" t="s">
        <v>116</v>
      </c>
      <c r="K36" s="41" t="s">
        <v>107</v>
      </c>
      <c r="L36" s="38" t="s">
        <v>108</v>
      </c>
      <c r="M36" s="38" t="s">
        <v>109</v>
      </c>
      <c r="N36" s="38">
        <v>22</v>
      </c>
      <c r="O36" s="65">
        <f>F36*40</f>
        <v>1418.8</v>
      </c>
      <c r="P36" s="38" t="s">
        <v>109</v>
      </c>
      <c r="Q36" s="51">
        <v>22</v>
      </c>
      <c r="R36" s="60">
        <f>F36*12</f>
        <v>425.64</v>
      </c>
      <c r="S36" s="55">
        <f t="shared" si="4"/>
        <v>320</v>
      </c>
      <c r="T36" s="50">
        <f>SUM(AE36*AF36,AJ36*AK36,AN36*AO36,AR36*AS36,AT36*AU36,AX36*AY36,BC36*BD36,BE36*BF36,BJ36*BK36,BL36*BM36,BP36*BQ36,BU36*BV36,BZ36*CA36,CL36*CM36,CP36*CQ36,CR36*CS36,CU36*CV36,CZ36*DA36,DB36*DC36,DF36*DG36,DK36*DL36,DS36*DT36,DU36*DV36,DW36*DX36,DY36*DZ36,EC36*ED36,EG36*EH36,EK36*EL36,EN36*EO36,ER36*ES36,ET36*EU36,FJ36*FK36,FL36*FM36,FQ36*FR36,FS36*FT36)</f>
        <v>0</v>
      </c>
      <c r="U36" s="58">
        <f t="shared" ref="U36" si="11">SUM(R36:T36)</f>
        <v>745.64</v>
      </c>
      <c r="V36" s="30" t="s">
        <v>110</v>
      </c>
      <c r="W36" s="31" t="s">
        <v>111</v>
      </c>
      <c r="X36" s="48">
        <f t="shared" si="8"/>
        <v>100</v>
      </c>
      <c r="Y36" s="48">
        <f>ROUNDUP(IF($J36="+",($X36-$H36*0.5),IF($J36="++",($X36-$H36*1),IF($J36="+++",($X36-$H36*1.5),IF($J36="-",($X36+$H36*0.5),IF($J36="--",($X36+$H36*1),IF($J36="---",($X36+$H36*1.5),$X36)))))),-1)</f>
        <v>100</v>
      </c>
      <c r="Z36" s="48">
        <f t="shared" si="9"/>
        <v>100</v>
      </c>
      <c r="AA36" s="42">
        <v>1</v>
      </c>
      <c r="AB36" s="48">
        <f t="shared" si="6"/>
        <v>0</v>
      </c>
      <c r="AC36" s="48">
        <f t="shared" si="7"/>
        <v>0</v>
      </c>
      <c r="AD36" s="42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  <c r="FP36" s="43"/>
      <c r="FQ36" s="43"/>
      <c r="FR36" s="43"/>
      <c r="FS36" s="43"/>
      <c r="FT36" s="43"/>
      <c r="FU36" s="43"/>
      <c r="FV36" s="43"/>
      <c r="FW36" s="43"/>
      <c r="FX36" s="43"/>
    </row>
    <row r="37" spans="1:180" s="2" customFormat="1" ht="12.75" x14ac:dyDescent="0.2">
      <c r="B37" s="217" t="s">
        <v>183</v>
      </c>
      <c r="C37" s="13" t="s">
        <v>184</v>
      </c>
      <c r="D37" s="12" t="s">
        <v>104</v>
      </c>
      <c r="E37" s="14" t="s">
        <v>105</v>
      </c>
      <c r="F37" s="44">
        <v>73.75</v>
      </c>
      <c r="G37" s="15">
        <v>2.7</v>
      </c>
      <c r="H37" s="16">
        <f t="shared" si="0"/>
        <v>199.125</v>
      </c>
      <c r="I37" s="54" t="s">
        <v>106</v>
      </c>
      <c r="J37" s="121" t="s">
        <v>116</v>
      </c>
      <c r="K37" s="18"/>
      <c r="L37" s="15" t="s">
        <v>108</v>
      </c>
      <c r="M37" s="15" t="s">
        <v>109</v>
      </c>
      <c r="N37" s="15">
        <v>22</v>
      </c>
      <c r="O37" s="63">
        <f>F37*40</f>
        <v>2950</v>
      </c>
      <c r="P37" s="15" t="s">
        <v>122</v>
      </c>
      <c r="Q37" s="49" t="s">
        <v>116</v>
      </c>
      <c r="R37" s="59">
        <f>F37*6</f>
        <v>442.5</v>
      </c>
      <c r="S37" s="56" t="s">
        <v>106</v>
      </c>
      <c r="T37" s="56">
        <f>SUM(AE37*AF37,AJ37*AK37,AN37*AO37,AR37*AS37,AT37*AU37,AX37*AY37,BC37*BD37,BE37*BF37,BJ37*BK37,BL37*BM37,BP37*BQ37,BU37*BV37,BZ37*CA37,CL37*CM37,CP37*CQ37,CR37*CS37,CU37*CV37,CZ37*DA37,DB37*DC37,DF37*DG37,DK37*DL37,DS37*DT37,DU37*DV37,DW37*DX37,DY37*DZ37,EC37*ED37,EG37*EH37,EK37*EL37,EN37*EO37,ER37*ES37,ET37*EU37,FJ37*FK37,FL37*FM37,FQ37*FR37,FS37*FT37)</f>
        <v>0</v>
      </c>
      <c r="U37" s="57">
        <f t="shared" ref="U37" si="12">SUM(Q37:T37)</f>
        <v>442.5</v>
      </c>
      <c r="V37" s="19" t="s">
        <v>110</v>
      </c>
      <c r="W37" s="20" t="s">
        <v>117</v>
      </c>
      <c r="X37" s="47">
        <f t="shared" si="8"/>
        <v>200</v>
      </c>
      <c r="Y37" s="47">
        <f>ROUNDUP(IF($J37="+",($X37-$H37*0.5),IF($J37="++",($X37-$H37*1),IF($J37="+++",($X37-$H37*1.5),IF($J37="-",($X37+$H37*0.5),IF($J37="--",($X37+$H37*1),IF($J37="---",($X37+$H37*1.5),$X37)))))),-1)</f>
        <v>200</v>
      </c>
      <c r="Z37" s="47">
        <f t="shared" si="9"/>
        <v>200</v>
      </c>
      <c r="AA37" s="21">
        <v>1</v>
      </c>
      <c r="AB37" s="47">
        <f t="shared" ref="AB37" si="13">ROUNDUP(SUM(AE37*AH37,AJ37*AM37,AN37*AQ37,AT37*AW37,AX37*BA37,BE37*BH37,BL37*BO37,BP37*BS37,BU37*BX37,BZ37*CC37,CE37*CG37,CI37*CK37,CL37*CO37,DB37*DE37,DF37*DI37,DK37*DN37,DP37*DR37,DY37*EB37,EC37*EF37,EG37*EJ37,CW37*CX37,EV37*EW37,EY37*EZ37,FC37*FD37,FH37),-1)</f>
        <v>10</v>
      </c>
      <c r="AC37" s="47">
        <f>ROUNDUP(SUM(AE37*AI37,AJ37*AM37,AN37*AQ37,AT37*AW37,AX37*BB37,BE37*BH37,BL37*BO37,BP37*BT37,BU37*BY37,BZ37*CD37,CE37*CH37,CI37*CK37,CL37*CO37,DB37*DE37,DF37*DJ37,DK37*DN37,DP37*DR37,DY37*EB37,EC37*EF37,EG37*EJ37,CW37*CY37,EV37*EX37,EY37*FA37,FC37*FE37,FH37),-1)</f>
        <v>10</v>
      </c>
      <c r="AD37" s="21" t="s">
        <v>112</v>
      </c>
      <c r="AE37" s="22"/>
      <c r="AF37" s="22"/>
      <c r="AG37" s="22"/>
      <c r="AH37" s="22"/>
      <c r="AI37" s="22"/>
      <c r="AJ37" s="22"/>
      <c r="AK37" s="22"/>
      <c r="AL37" s="22"/>
      <c r="AM37" s="22"/>
      <c r="AN37" s="22">
        <v>1</v>
      </c>
      <c r="AO37" s="22"/>
      <c r="AP37" s="22" t="s">
        <v>113</v>
      </c>
      <c r="AQ37" s="22">
        <v>10</v>
      </c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2"/>
      <c r="BP37" s="22"/>
      <c r="BQ37" s="22"/>
      <c r="BR37" s="22"/>
      <c r="BS37" s="22"/>
      <c r="BT37" s="22"/>
      <c r="BU37" s="22"/>
      <c r="BV37" s="22"/>
      <c r="BW37" s="22"/>
      <c r="BX37" s="22"/>
      <c r="BY37" s="22"/>
      <c r="BZ37" s="22"/>
      <c r="CA37" s="22"/>
      <c r="CB37" s="22"/>
      <c r="CC37" s="22"/>
      <c r="CD37" s="22"/>
      <c r="CE37" s="22"/>
      <c r="CF37" s="22"/>
      <c r="CG37" s="22"/>
      <c r="CH37" s="22"/>
      <c r="CI37" s="22"/>
      <c r="CJ37" s="22"/>
      <c r="CK37" s="22"/>
      <c r="CL37" s="22"/>
      <c r="CM37" s="22"/>
      <c r="CN37" s="22"/>
      <c r="CO37" s="22"/>
      <c r="CP37" s="22"/>
      <c r="CQ37" s="22"/>
      <c r="CR37" s="22"/>
      <c r="CS37" s="22"/>
      <c r="CT37" s="22"/>
      <c r="CU37" s="22"/>
      <c r="CV37" s="22"/>
      <c r="CW37" s="22"/>
      <c r="CX37" s="22"/>
      <c r="CY37" s="22"/>
      <c r="CZ37" s="22"/>
      <c r="DA37" s="22"/>
      <c r="DB37" s="22"/>
      <c r="DC37" s="22"/>
      <c r="DD37" s="22"/>
      <c r="DE37" s="22"/>
      <c r="DF37" s="22"/>
      <c r="DG37" s="22"/>
      <c r="DH37" s="22"/>
      <c r="DI37" s="22"/>
      <c r="DJ37" s="22"/>
      <c r="DK37" s="22"/>
      <c r="DL37" s="22"/>
      <c r="DM37" s="22"/>
      <c r="DN37" s="22"/>
      <c r="DO37" s="22"/>
      <c r="DP37" s="22"/>
      <c r="DQ37" s="22"/>
      <c r="DR37" s="22"/>
      <c r="DS37" s="22"/>
      <c r="DT37" s="22"/>
      <c r="DU37" s="22"/>
      <c r="DV37" s="22"/>
      <c r="DW37" s="22"/>
      <c r="DX37" s="22"/>
      <c r="DY37" s="22"/>
      <c r="DZ37" s="22"/>
      <c r="EA37" s="22"/>
      <c r="EB37" s="22"/>
      <c r="EC37" s="22"/>
      <c r="ED37" s="22"/>
      <c r="EE37" s="22"/>
      <c r="EF37" s="22"/>
      <c r="EG37" s="22"/>
      <c r="EH37" s="22"/>
      <c r="EI37" s="22"/>
      <c r="EJ37" s="22"/>
      <c r="EK37" s="22"/>
      <c r="EL37" s="22"/>
      <c r="EM37" s="22"/>
      <c r="EN37" s="22"/>
      <c r="EO37" s="22"/>
      <c r="EP37" s="22"/>
      <c r="EQ37" s="22"/>
      <c r="ER37" s="22"/>
      <c r="ES37" s="22"/>
      <c r="ET37" s="22"/>
      <c r="EU37" s="22"/>
      <c r="EV37" s="22"/>
      <c r="EW37" s="22"/>
      <c r="EX37" s="22"/>
      <c r="EY37" s="22"/>
      <c r="EZ37" s="22"/>
      <c r="FA37" s="22"/>
      <c r="FB37" s="22"/>
      <c r="FC37" s="22"/>
      <c r="FD37" s="22"/>
      <c r="FE37" s="22"/>
      <c r="FF37" s="22"/>
      <c r="FG37" s="22"/>
      <c r="FH37" s="22"/>
      <c r="FI37" s="22"/>
      <c r="FJ37" s="22"/>
      <c r="FK37" s="22"/>
      <c r="FL37" s="22"/>
      <c r="FM37" s="22"/>
      <c r="FN37" s="22"/>
      <c r="FO37" s="22"/>
      <c r="FP37" s="22"/>
      <c r="FQ37" s="22"/>
      <c r="FR37" s="22"/>
      <c r="FS37" s="22"/>
      <c r="FT37" s="22"/>
      <c r="FU37" s="22"/>
      <c r="FV37" s="22"/>
      <c r="FW37" s="22"/>
      <c r="FX37" s="22"/>
    </row>
    <row r="38" spans="1:180" x14ac:dyDescent="0.25">
      <c r="O38" s="132">
        <f>SUM(O5:O37)</f>
        <v>31749.550000000003</v>
      </c>
      <c r="U38" s="132">
        <f>SUM(U5:U37)</f>
        <v>28565.760000000002</v>
      </c>
      <c r="X38" s="131">
        <f>SUM(X5:X37)</f>
        <v>34160</v>
      </c>
      <c r="Y38" s="131">
        <f>SUM(Y5:Y37)</f>
        <v>8470</v>
      </c>
      <c r="Z38" s="131">
        <f>SUM(Z5:Z37)</f>
        <v>3960</v>
      </c>
      <c r="AB38" s="131">
        <f>SUM(AB5:AB37)</f>
        <v>30850</v>
      </c>
      <c r="AC38" s="131">
        <f>SUM(AC5:AC37)</f>
        <v>7130</v>
      </c>
    </row>
    <row r="39" spans="1:180" x14ac:dyDescent="0.25">
      <c r="B39" s="1" t="s">
        <v>185</v>
      </c>
      <c r="F39"/>
    </row>
    <row r="40" spans="1:180" x14ac:dyDescent="0.25">
      <c r="B40" s="1" t="s">
        <v>186</v>
      </c>
      <c r="F40" s="5"/>
    </row>
    <row r="41" spans="1:180" x14ac:dyDescent="0.25">
      <c r="B41" s="1" t="s">
        <v>187</v>
      </c>
      <c r="F41" s="5"/>
    </row>
    <row r="42" spans="1:180" x14ac:dyDescent="0.25">
      <c r="B42" s="1" t="s">
        <v>188</v>
      </c>
    </row>
  </sheetData>
  <autoFilter ref="B3:FS43" xr:uid="{A02E5FA0-DB93-4598-97BD-784B68BF8FB4}"/>
  <phoneticPr fontId="3" type="noConversion"/>
  <pageMargins left="0.7" right="0.7" top="0.75" bottom="0.75" header="0.3" footer="0.3"/>
  <pageSetup paperSize="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A8972-118D-451F-953F-670553DF2604}">
  <sheetPr>
    <pageSetUpPr fitToPage="1"/>
  </sheetPr>
  <dimension ref="B1:X26"/>
  <sheetViews>
    <sheetView topLeftCell="B1" workbookViewId="0">
      <selection activeCell="H15" sqref="H15"/>
    </sheetView>
  </sheetViews>
  <sheetFormatPr baseColWidth="10" defaultColWidth="11.42578125" defaultRowHeight="15" x14ac:dyDescent="0.25"/>
  <cols>
    <col min="2" max="2" width="14.28515625" bestFit="1" customWidth="1"/>
    <col min="3" max="3" width="24.7109375" customWidth="1"/>
    <col min="14" max="14" width="0" hidden="1" customWidth="1"/>
  </cols>
  <sheetData>
    <row r="1" spans="2:24" ht="15.75" thickBot="1" x14ac:dyDescent="0.3"/>
    <row r="2" spans="2:24" ht="16.5" thickBot="1" x14ac:dyDescent="0.3">
      <c r="B2" s="139" t="s">
        <v>0</v>
      </c>
      <c r="C2" s="140"/>
      <c r="D2" s="140"/>
      <c r="E2" s="140"/>
      <c r="F2" s="140"/>
      <c r="G2" s="140"/>
      <c r="H2" s="140"/>
      <c r="I2" s="140"/>
      <c r="J2" s="141"/>
      <c r="K2" s="134" t="s">
        <v>2</v>
      </c>
      <c r="L2" s="135"/>
      <c r="M2" s="135"/>
      <c r="N2" s="135"/>
      <c r="O2" s="135"/>
      <c r="P2" s="135"/>
      <c r="Q2" s="135"/>
      <c r="R2" s="135"/>
      <c r="S2" s="184" t="s">
        <v>3</v>
      </c>
      <c r="T2" s="185"/>
      <c r="U2" s="185"/>
      <c r="V2" s="186"/>
      <c r="W2" s="186"/>
      <c r="X2" s="187"/>
    </row>
    <row r="3" spans="2:24" ht="51" customHeight="1" x14ac:dyDescent="0.25">
      <c r="B3" s="108" t="s">
        <v>4</v>
      </c>
      <c r="C3" s="90" t="s">
        <v>5</v>
      </c>
      <c r="D3" s="90" t="s">
        <v>6</v>
      </c>
      <c r="E3" s="90" t="s">
        <v>7</v>
      </c>
      <c r="F3" s="90" t="s">
        <v>8</v>
      </c>
      <c r="G3" s="90" t="s">
        <v>9</v>
      </c>
      <c r="H3" s="90" t="s">
        <v>10</v>
      </c>
      <c r="I3" s="90" t="s">
        <v>11</v>
      </c>
      <c r="J3" s="91" t="s">
        <v>12</v>
      </c>
      <c r="K3" s="189" t="s">
        <v>24</v>
      </c>
      <c r="L3" s="190" t="s">
        <v>25</v>
      </c>
      <c r="M3" s="191" t="s">
        <v>26</v>
      </c>
      <c r="N3" s="191" t="s">
        <v>27</v>
      </c>
      <c r="O3" s="191" t="s">
        <v>28</v>
      </c>
      <c r="P3" s="190" t="s">
        <v>30</v>
      </c>
      <c r="Q3" s="190" t="s">
        <v>31</v>
      </c>
      <c r="R3" s="130" t="s">
        <v>32</v>
      </c>
      <c r="S3" s="237" t="s">
        <v>189</v>
      </c>
      <c r="T3" s="229" t="s">
        <v>36</v>
      </c>
      <c r="U3" s="229" t="s">
        <v>37</v>
      </c>
      <c r="V3" s="229" t="s">
        <v>190</v>
      </c>
      <c r="W3" s="229" t="s">
        <v>37</v>
      </c>
      <c r="X3" s="227" t="s">
        <v>36</v>
      </c>
    </row>
    <row r="4" spans="2:24" ht="15.75" thickBot="1" x14ac:dyDescent="0.3">
      <c r="B4" s="107"/>
      <c r="C4" s="93"/>
      <c r="D4" s="93"/>
      <c r="E4" s="93"/>
      <c r="F4" s="93" t="s">
        <v>94</v>
      </c>
      <c r="G4" s="93" t="s">
        <v>95</v>
      </c>
      <c r="H4" s="93" t="s">
        <v>96</v>
      </c>
      <c r="I4" s="93"/>
      <c r="J4" s="94"/>
      <c r="K4" s="143"/>
      <c r="L4" s="192"/>
      <c r="M4" s="146" t="s">
        <v>99</v>
      </c>
      <c r="N4" s="146" t="s">
        <v>99</v>
      </c>
      <c r="O4" s="146" t="s">
        <v>99</v>
      </c>
      <c r="P4" s="192" t="s">
        <v>99</v>
      </c>
      <c r="Q4" s="192" t="s">
        <v>99</v>
      </c>
      <c r="R4" s="147"/>
      <c r="S4" s="238"/>
      <c r="T4" s="230"/>
      <c r="U4" s="230"/>
      <c r="V4" s="230"/>
      <c r="W4" s="230"/>
      <c r="X4" s="228"/>
    </row>
    <row r="5" spans="2:24" s="2" customFormat="1" ht="12.75" x14ac:dyDescent="0.2">
      <c r="B5" s="162" t="s">
        <v>191</v>
      </c>
      <c r="C5" s="163" t="s">
        <v>192</v>
      </c>
      <c r="D5" s="164" t="s">
        <v>193</v>
      </c>
      <c r="E5" s="165" t="s">
        <v>105</v>
      </c>
      <c r="F5" s="166">
        <v>24.9</v>
      </c>
      <c r="G5" s="167">
        <v>2.7</v>
      </c>
      <c r="H5" s="168">
        <f t="shared" ref="H5" si="0">G5*F5</f>
        <v>67.23</v>
      </c>
      <c r="I5" s="167"/>
      <c r="J5" s="195" t="s">
        <v>116</v>
      </c>
      <c r="K5" s="174" t="s">
        <v>107</v>
      </c>
      <c r="L5" s="167" t="s">
        <v>108</v>
      </c>
      <c r="M5" s="167">
        <v>440</v>
      </c>
      <c r="N5" s="167">
        <v>420</v>
      </c>
      <c r="O5" s="167">
        <v>500</v>
      </c>
      <c r="P5" s="175">
        <v>0</v>
      </c>
      <c r="Q5" s="176">
        <v>0</v>
      </c>
      <c r="R5" s="177"/>
      <c r="S5" s="193"/>
      <c r="T5" s="167"/>
      <c r="U5" s="167"/>
      <c r="V5" s="167"/>
      <c r="W5" s="167"/>
      <c r="X5" s="194"/>
    </row>
    <row r="6" spans="2:24" x14ac:dyDescent="0.25">
      <c r="B6" s="161" t="s">
        <v>194</v>
      </c>
      <c r="C6" s="103" t="s">
        <v>195</v>
      </c>
      <c r="D6" s="100" t="s">
        <v>193</v>
      </c>
      <c r="E6" s="102" t="s">
        <v>105</v>
      </c>
      <c r="F6" s="103">
        <v>22.2</v>
      </c>
      <c r="G6" s="104">
        <v>2.7</v>
      </c>
      <c r="H6" s="105">
        <f t="shared" ref="H6" si="1">G6*F6</f>
        <v>59.940000000000005</v>
      </c>
      <c r="I6" s="104"/>
      <c r="J6" s="196" t="s">
        <v>106</v>
      </c>
      <c r="K6" s="178" t="s">
        <v>107</v>
      </c>
      <c r="L6" s="104" t="s">
        <v>108</v>
      </c>
      <c r="M6" s="104">
        <f>ROUNDUP(IF($J6="+",($P6+$H6*0.5),IF($J6="++",($P6+$H6*1),IF($J6="+++",($P6+$H6*1.5),IF($J6="-",($P6-$H6*0.5),IF($J6="--",($P6-$H6*1),IF($J6="---",($P6-$H6*1.5),$P6)))))),-1)</f>
        <v>1080</v>
      </c>
      <c r="N6" s="104">
        <f>ROUNDUP(IF($J6="+",($Q6+$H6*0.5),IF($J6="++",($Q6+$H6*1),IF($J6="+++",($Q6+$H6*1.5),IF($J6="-",($Q6-$H6*0.5),IF($J6="--",($Q6-$H6*1),IF($J6="---",($Q6-$H6*1.5),$Q6)))))),-1)</f>
        <v>80</v>
      </c>
      <c r="O6" s="104">
        <v>0</v>
      </c>
      <c r="P6" s="104">
        <f t="shared" ref="P6:P7" si="2">ROUNDUP(S6*T6+V6*W6,-1)</f>
        <v>1100</v>
      </c>
      <c r="Q6" s="104">
        <f>ROUNDUP(S6*U6+V6*X6,-1)</f>
        <v>100</v>
      </c>
      <c r="R6" s="225" t="s">
        <v>120</v>
      </c>
      <c r="S6" s="226">
        <v>1</v>
      </c>
      <c r="T6" s="22">
        <f>840*1.3</f>
        <v>1092</v>
      </c>
      <c r="U6" s="22">
        <v>100</v>
      </c>
      <c r="V6" s="104"/>
      <c r="W6" s="104"/>
      <c r="X6" s="181"/>
    </row>
    <row r="7" spans="2:24" x14ac:dyDescent="0.25">
      <c r="B7" s="161" t="s">
        <v>196</v>
      </c>
      <c r="C7" s="103" t="s">
        <v>197</v>
      </c>
      <c r="D7" s="100" t="s">
        <v>193</v>
      </c>
      <c r="E7" s="102" t="s">
        <v>105</v>
      </c>
      <c r="F7" s="103">
        <v>23.2</v>
      </c>
      <c r="G7" s="104">
        <v>2.7</v>
      </c>
      <c r="H7" s="105">
        <f t="shared" ref="H7:H8" si="3">G7*F7</f>
        <v>62.64</v>
      </c>
      <c r="I7" s="104"/>
      <c r="J7" s="196" t="s">
        <v>116</v>
      </c>
      <c r="K7" s="178" t="s">
        <v>107</v>
      </c>
      <c r="L7" s="104" t="s">
        <v>108</v>
      </c>
      <c r="M7" s="104">
        <v>360</v>
      </c>
      <c r="N7" s="104">
        <v>360</v>
      </c>
      <c r="O7" s="104">
        <v>400</v>
      </c>
      <c r="P7" s="104">
        <f t="shared" si="2"/>
        <v>10</v>
      </c>
      <c r="Q7" s="104">
        <f t="shared" ref="Q7:Q8" si="4">ROUNDUP(S7*U7+V7*X7,-1)</f>
        <v>10</v>
      </c>
      <c r="R7" s="225" t="s">
        <v>120</v>
      </c>
      <c r="S7" s="226"/>
      <c r="T7" s="104"/>
      <c r="U7" s="104"/>
      <c r="V7" s="104">
        <v>1</v>
      </c>
      <c r="W7" s="104">
        <v>10</v>
      </c>
      <c r="X7" s="181">
        <v>10</v>
      </c>
    </row>
    <row r="8" spans="2:24" x14ac:dyDescent="0.25">
      <c r="B8" s="161" t="s">
        <v>198</v>
      </c>
      <c r="C8" s="103" t="s">
        <v>199</v>
      </c>
      <c r="D8" s="100" t="s">
        <v>193</v>
      </c>
      <c r="E8" s="102" t="s">
        <v>105</v>
      </c>
      <c r="F8" s="103">
        <v>47.8</v>
      </c>
      <c r="G8" s="104">
        <v>2.7</v>
      </c>
      <c r="H8" s="105">
        <f t="shared" si="3"/>
        <v>129.06</v>
      </c>
      <c r="I8" s="104"/>
      <c r="J8" s="196" t="s">
        <v>106</v>
      </c>
      <c r="K8" s="178" t="s">
        <v>107</v>
      </c>
      <c r="L8" s="104" t="s">
        <v>108</v>
      </c>
      <c r="M8" s="104">
        <f>ROUNDUP(IF($J8="+",($P8+$H8*0.5),IF($J8="++",($P8+$H8*1),IF($J8="+++",($P8+$H8*1.5),IF($J8="-",($P8-$H8*0.5),IF($J8="--",($P8-$H8*1),IF($J8="---",($P8-$H8*1.5),$P8)))))),-1)</f>
        <v>3330</v>
      </c>
      <c r="N8" s="104">
        <f>ROUNDUP(IF($J8="+",($Q8+$H8*0.5),IF($J8="++",($Q8+$H8*1),IF($J8="+++",($Q8+$H8*1.5),IF($J8="-",($Q8-$H8*0.5),IF($J8="--",($Q8-$H8*1),IF($J8="---",($Q8-$H8*1.5),$Q8)))))),-1)</f>
        <v>150</v>
      </c>
      <c r="O8" s="104">
        <v>0</v>
      </c>
      <c r="P8" s="104">
        <f>ROUNDUP(S8*T8+V8*W8,-1)</f>
        <v>3390</v>
      </c>
      <c r="Q8" s="104">
        <f t="shared" si="4"/>
        <v>210</v>
      </c>
      <c r="R8" s="225" t="s">
        <v>200</v>
      </c>
      <c r="S8" s="226">
        <v>2</v>
      </c>
      <c r="T8" s="22">
        <f>1300*1.3</f>
        <v>1690</v>
      </c>
      <c r="U8" s="22">
        <v>100</v>
      </c>
      <c r="V8" s="104">
        <v>1</v>
      </c>
      <c r="W8" s="104">
        <v>10</v>
      </c>
      <c r="X8" s="181">
        <v>10</v>
      </c>
    </row>
    <row r="9" spans="2:24" x14ac:dyDescent="0.25">
      <c r="B9" s="161" t="s">
        <v>201</v>
      </c>
      <c r="C9" s="103" t="s">
        <v>202</v>
      </c>
      <c r="D9" s="100" t="s">
        <v>193</v>
      </c>
      <c r="E9" s="102" t="s">
        <v>105</v>
      </c>
      <c r="F9" s="103">
        <v>23</v>
      </c>
      <c r="G9" s="104">
        <v>2.7</v>
      </c>
      <c r="H9" s="105">
        <f t="shared" ref="H9:H11" si="5">G9*F9</f>
        <v>62.1</v>
      </c>
      <c r="I9" s="104"/>
      <c r="J9" s="196" t="s">
        <v>116</v>
      </c>
      <c r="K9" s="178" t="s">
        <v>107</v>
      </c>
      <c r="L9" s="104" t="s">
        <v>108</v>
      </c>
      <c r="M9" s="104">
        <v>400</v>
      </c>
      <c r="N9" s="104">
        <v>400</v>
      </c>
      <c r="O9" s="104">
        <v>400</v>
      </c>
      <c r="P9" s="104">
        <v>0</v>
      </c>
      <c r="Q9" s="104">
        <v>0</v>
      </c>
      <c r="R9" s="225"/>
      <c r="S9" s="226"/>
      <c r="T9" s="104"/>
      <c r="U9" s="104"/>
      <c r="V9" s="104"/>
      <c r="W9" s="104"/>
      <c r="X9" s="181"/>
    </row>
    <row r="10" spans="2:24" x14ac:dyDescent="0.25">
      <c r="B10" s="161" t="s">
        <v>203</v>
      </c>
      <c r="C10" s="103" t="s">
        <v>204</v>
      </c>
      <c r="D10" s="100" t="s">
        <v>193</v>
      </c>
      <c r="E10" s="102" t="s">
        <v>105</v>
      </c>
      <c r="F10" s="103">
        <v>18</v>
      </c>
      <c r="G10" s="104">
        <v>2.7</v>
      </c>
      <c r="H10" s="105">
        <f t="shared" si="5"/>
        <v>48.6</v>
      </c>
      <c r="I10" s="104"/>
      <c r="J10" s="196" t="s">
        <v>116</v>
      </c>
      <c r="K10" s="178" t="s">
        <v>107</v>
      </c>
      <c r="L10" s="104" t="s">
        <v>108</v>
      </c>
      <c r="M10" s="104">
        <v>400</v>
      </c>
      <c r="N10" s="104">
        <v>400</v>
      </c>
      <c r="O10" s="104">
        <v>450</v>
      </c>
      <c r="P10" s="104">
        <v>0</v>
      </c>
      <c r="Q10" s="104">
        <v>0</v>
      </c>
      <c r="R10" s="225"/>
      <c r="S10" s="226"/>
      <c r="T10" s="104"/>
      <c r="U10" s="104"/>
      <c r="V10" s="104"/>
      <c r="W10" s="104"/>
      <c r="X10" s="181"/>
    </row>
    <row r="11" spans="2:24" x14ac:dyDescent="0.25">
      <c r="B11" s="161" t="s">
        <v>205</v>
      </c>
      <c r="C11" s="103" t="s">
        <v>206</v>
      </c>
      <c r="D11" s="100" t="s">
        <v>193</v>
      </c>
      <c r="E11" s="102" t="s">
        <v>105</v>
      </c>
      <c r="F11" s="103">
        <v>13.9</v>
      </c>
      <c r="G11" s="104">
        <v>2.7</v>
      </c>
      <c r="H11" s="105">
        <f t="shared" si="5"/>
        <v>37.53</v>
      </c>
      <c r="I11" s="104"/>
      <c r="J11" s="196" t="s">
        <v>116</v>
      </c>
      <c r="K11" s="178" t="s">
        <v>107</v>
      </c>
      <c r="L11" s="104" t="s">
        <v>108</v>
      </c>
      <c r="M11" s="104">
        <v>300</v>
      </c>
      <c r="N11" s="104">
        <v>300</v>
      </c>
      <c r="O11" s="104">
        <v>340</v>
      </c>
      <c r="P11" s="104">
        <v>0</v>
      </c>
      <c r="Q11" s="104">
        <v>0</v>
      </c>
      <c r="R11" s="225"/>
      <c r="S11" s="226"/>
      <c r="T11" s="104"/>
      <c r="U11" s="104"/>
      <c r="V11" s="104"/>
      <c r="W11" s="104"/>
      <c r="X11" s="181"/>
    </row>
    <row r="12" spans="2:24" x14ac:dyDescent="0.25">
      <c r="B12" s="161" t="s">
        <v>207</v>
      </c>
      <c r="C12" s="103" t="s">
        <v>206</v>
      </c>
      <c r="D12" s="100" t="s">
        <v>193</v>
      </c>
      <c r="E12" s="102" t="s">
        <v>105</v>
      </c>
      <c r="F12" s="103">
        <v>15.8</v>
      </c>
      <c r="G12" s="104">
        <v>2.7</v>
      </c>
      <c r="H12" s="105">
        <f t="shared" ref="H12:H16" si="6">G12*F12</f>
        <v>42.660000000000004</v>
      </c>
      <c r="I12" s="104"/>
      <c r="J12" s="196" t="s">
        <v>116</v>
      </c>
      <c r="K12" s="178" t="s">
        <v>107</v>
      </c>
      <c r="L12" s="104" t="s">
        <v>108</v>
      </c>
      <c r="M12" s="104">
        <v>275</v>
      </c>
      <c r="N12" s="104">
        <v>275</v>
      </c>
      <c r="O12" s="104">
        <v>450</v>
      </c>
      <c r="P12" s="104">
        <v>0</v>
      </c>
      <c r="Q12" s="104">
        <v>0</v>
      </c>
      <c r="R12" s="225"/>
      <c r="S12" s="226"/>
      <c r="T12" s="104"/>
      <c r="U12" s="104"/>
      <c r="V12" s="104"/>
      <c r="W12" s="104"/>
      <c r="X12" s="181"/>
    </row>
    <row r="13" spans="2:24" x14ac:dyDescent="0.25">
      <c r="B13" s="161" t="s">
        <v>208</v>
      </c>
      <c r="C13" s="103" t="s">
        <v>209</v>
      </c>
      <c r="D13" s="100" t="s">
        <v>193</v>
      </c>
      <c r="E13" s="102" t="s">
        <v>105</v>
      </c>
      <c r="F13" s="103">
        <v>49</v>
      </c>
      <c r="G13" s="104">
        <v>2.7</v>
      </c>
      <c r="H13" s="105">
        <f t="shared" si="6"/>
        <v>132.30000000000001</v>
      </c>
      <c r="I13" s="104"/>
      <c r="J13" s="196" t="s">
        <v>116</v>
      </c>
      <c r="K13" s="178" t="s">
        <v>107</v>
      </c>
      <c r="L13" s="104" t="s">
        <v>108</v>
      </c>
      <c r="M13" s="104">
        <f>550+180</f>
        <v>730</v>
      </c>
      <c r="N13" s="104">
        <v>275</v>
      </c>
      <c r="O13" s="104">
        <f>450+180</f>
        <v>630</v>
      </c>
      <c r="P13" s="104">
        <v>0</v>
      </c>
      <c r="Q13" s="104">
        <v>0</v>
      </c>
      <c r="R13" s="225"/>
      <c r="S13" s="226"/>
      <c r="T13" s="104"/>
      <c r="U13" s="104"/>
      <c r="V13" s="104"/>
      <c r="W13" s="104"/>
      <c r="X13" s="181"/>
    </row>
    <row r="14" spans="2:24" x14ac:dyDescent="0.25">
      <c r="B14" s="161" t="s">
        <v>210</v>
      </c>
      <c r="C14" s="103" t="s">
        <v>211</v>
      </c>
      <c r="D14" s="100" t="s">
        <v>193</v>
      </c>
      <c r="E14" s="102" t="s">
        <v>105</v>
      </c>
      <c r="F14" s="103">
        <f>15+10</f>
        <v>25</v>
      </c>
      <c r="G14" s="104">
        <v>2.7</v>
      </c>
      <c r="H14" s="105">
        <f t="shared" si="6"/>
        <v>67.5</v>
      </c>
      <c r="I14" s="104"/>
      <c r="J14" s="196" t="s">
        <v>116</v>
      </c>
      <c r="K14" s="178" t="s">
        <v>107</v>
      </c>
      <c r="L14" s="104" t="s">
        <v>108</v>
      </c>
      <c r="M14" s="104">
        <v>375</v>
      </c>
      <c r="N14" s="104">
        <v>375</v>
      </c>
      <c r="O14" s="104">
        <v>380</v>
      </c>
      <c r="P14" s="104">
        <v>0</v>
      </c>
      <c r="Q14" s="104">
        <v>0</v>
      </c>
      <c r="R14" s="225"/>
      <c r="S14" s="226"/>
      <c r="T14" s="104"/>
      <c r="U14" s="104"/>
      <c r="V14" s="104"/>
      <c r="W14" s="104"/>
      <c r="X14" s="181"/>
    </row>
    <row r="15" spans="2:24" x14ac:dyDescent="0.25">
      <c r="B15" s="161" t="s">
        <v>212</v>
      </c>
      <c r="C15" s="103" t="s">
        <v>213</v>
      </c>
      <c r="D15" s="100" t="s">
        <v>193</v>
      </c>
      <c r="E15" s="102" t="s">
        <v>105</v>
      </c>
      <c r="F15" s="103">
        <v>23</v>
      </c>
      <c r="G15" s="104">
        <v>2.7</v>
      </c>
      <c r="H15" s="105">
        <f t="shared" si="6"/>
        <v>62.1</v>
      </c>
      <c r="I15" s="104"/>
      <c r="J15" s="196" t="s">
        <v>116</v>
      </c>
      <c r="K15" s="178" t="s">
        <v>107</v>
      </c>
      <c r="L15" s="104" t="s">
        <v>108</v>
      </c>
      <c r="M15" s="104">
        <v>375</v>
      </c>
      <c r="N15" s="104">
        <v>375</v>
      </c>
      <c r="O15" s="104">
        <v>380</v>
      </c>
      <c r="P15" s="104">
        <v>0</v>
      </c>
      <c r="Q15" s="104">
        <v>0</v>
      </c>
      <c r="R15" s="225"/>
      <c r="S15" s="226"/>
      <c r="T15" s="104"/>
      <c r="U15" s="104"/>
      <c r="V15" s="104"/>
      <c r="W15" s="104"/>
      <c r="X15" s="181"/>
    </row>
    <row r="16" spans="2:24" x14ac:dyDescent="0.25">
      <c r="B16" s="161" t="s">
        <v>214</v>
      </c>
      <c r="C16" s="103" t="s">
        <v>215</v>
      </c>
      <c r="D16" s="100" t="s">
        <v>193</v>
      </c>
      <c r="E16" s="102" t="s">
        <v>105</v>
      </c>
      <c r="F16" s="103">
        <v>22.6</v>
      </c>
      <c r="G16" s="104">
        <v>2.7</v>
      </c>
      <c r="H16" s="105">
        <f t="shared" si="6"/>
        <v>61.02000000000001</v>
      </c>
      <c r="I16" s="104"/>
      <c r="J16" s="196" t="s">
        <v>116</v>
      </c>
      <c r="K16" s="178" t="s">
        <v>107</v>
      </c>
      <c r="L16" s="104" t="s">
        <v>108</v>
      </c>
      <c r="M16" s="104">
        <v>430</v>
      </c>
      <c r="N16" s="104">
        <v>430</v>
      </c>
      <c r="O16" s="104">
        <v>430</v>
      </c>
      <c r="P16" s="104">
        <v>0</v>
      </c>
      <c r="Q16" s="104">
        <v>0</v>
      </c>
      <c r="R16" s="225"/>
      <c r="S16" s="226"/>
      <c r="T16" s="104"/>
      <c r="U16" s="104"/>
      <c r="V16" s="104"/>
      <c r="W16" s="104"/>
      <c r="X16" s="181"/>
    </row>
    <row r="17" spans="2:24" x14ac:dyDescent="0.25">
      <c r="B17" s="161" t="s">
        <v>216</v>
      </c>
      <c r="C17" s="103" t="s">
        <v>206</v>
      </c>
      <c r="D17" s="100" t="s">
        <v>193</v>
      </c>
      <c r="E17" s="102" t="s">
        <v>105</v>
      </c>
      <c r="F17" s="103">
        <v>15.7</v>
      </c>
      <c r="G17" s="104">
        <v>2.7</v>
      </c>
      <c r="H17" s="105">
        <f t="shared" ref="H17:H20" si="7">G17*F17</f>
        <v>42.39</v>
      </c>
      <c r="I17" s="104"/>
      <c r="J17" s="196" t="s">
        <v>116</v>
      </c>
      <c r="K17" s="178" t="s">
        <v>107</v>
      </c>
      <c r="L17" s="104" t="s">
        <v>108</v>
      </c>
      <c r="M17" s="104">
        <v>215</v>
      </c>
      <c r="N17" s="104">
        <v>215</v>
      </c>
      <c r="O17" s="104">
        <v>215</v>
      </c>
      <c r="P17" s="104"/>
      <c r="Q17" s="104"/>
      <c r="R17" s="225"/>
      <c r="S17" s="226"/>
      <c r="T17" s="104"/>
      <c r="U17" s="104"/>
      <c r="V17" s="104"/>
      <c r="W17" s="104"/>
      <c r="X17" s="181"/>
    </row>
    <row r="18" spans="2:24" x14ac:dyDescent="0.25">
      <c r="B18" s="161" t="s">
        <v>217</v>
      </c>
      <c r="C18" s="103" t="s">
        <v>206</v>
      </c>
      <c r="D18" s="100" t="s">
        <v>193</v>
      </c>
      <c r="E18" s="102" t="s">
        <v>105</v>
      </c>
      <c r="F18" s="103">
        <v>15.7</v>
      </c>
      <c r="G18" s="104">
        <v>2.7</v>
      </c>
      <c r="H18" s="105">
        <f t="shared" si="7"/>
        <v>42.39</v>
      </c>
      <c r="I18" s="104"/>
      <c r="J18" s="196" t="s">
        <v>116</v>
      </c>
      <c r="K18" s="178" t="s">
        <v>107</v>
      </c>
      <c r="L18" s="104" t="s">
        <v>108</v>
      </c>
      <c r="M18" s="104">
        <v>215</v>
      </c>
      <c r="N18" s="104">
        <v>215</v>
      </c>
      <c r="O18" s="104">
        <v>215</v>
      </c>
      <c r="P18" s="104"/>
      <c r="Q18" s="104"/>
      <c r="R18" s="225"/>
      <c r="S18" s="226"/>
      <c r="T18" s="104"/>
      <c r="U18" s="104"/>
      <c r="V18" s="104"/>
      <c r="W18" s="104"/>
      <c r="X18" s="181"/>
    </row>
    <row r="19" spans="2:24" x14ac:dyDescent="0.25">
      <c r="B19" s="161" t="s">
        <v>218</v>
      </c>
      <c r="C19" s="103" t="s">
        <v>206</v>
      </c>
      <c r="D19" s="100" t="s">
        <v>193</v>
      </c>
      <c r="E19" s="102" t="s">
        <v>105</v>
      </c>
      <c r="F19" s="103">
        <v>15.7</v>
      </c>
      <c r="G19" s="104">
        <v>2.7</v>
      </c>
      <c r="H19" s="105">
        <f t="shared" si="7"/>
        <v>42.39</v>
      </c>
      <c r="I19" s="104"/>
      <c r="J19" s="196" t="s">
        <v>116</v>
      </c>
      <c r="K19" s="178" t="s">
        <v>107</v>
      </c>
      <c r="L19" s="104" t="s">
        <v>108</v>
      </c>
      <c r="M19" s="104">
        <v>215</v>
      </c>
      <c r="N19" s="104">
        <v>215</v>
      </c>
      <c r="O19" s="104">
        <v>215</v>
      </c>
      <c r="P19" s="104"/>
      <c r="Q19" s="104"/>
      <c r="R19" s="225"/>
      <c r="S19" s="226"/>
      <c r="T19" s="104"/>
      <c r="U19" s="104"/>
      <c r="V19" s="104"/>
      <c r="W19" s="104"/>
      <c r="X19" s="181"/>
    </row>
    <row r="20" spans="2:24" x14ac:dyDescent="0.25">
      <c r="B20" s="161" t="s">
        <v>219</v>
      </c>
      <c r="C20" s="103" t="s">
        <v>206</v>
      </c>
      <c r="D20" s="100" t="s">
        <v>193</v>
      </c>
      <c r="E20" s="102" t="s">
        <v>105</v>
      </c>
      <c r="F20" s="103">
        <v>15.7</v>
      </c>
      <c r="G20" s="104">
        <v>2.7</v>
      </c>
      <c r="H20" s="105">
        <f t="shared" si="7"/>
        <v>42.39</v>
      </c>
      <c r="I20" s="104"/>
      <c r="J20" s="196" t="s">
        <v>116</v>
      </c>
      <c r="K20" s="178" t="s">
        <v>107</v>
      </c>
      <c r="L20" s="104" t="s">
        <v>108</v>
      </c>
      <c r="M20" s="104">
        <v>215</v>
      </c>
      <c r="N20" s="104">
        <v>215</v>
      </c>
      <c r="O20" s="104">
        <v>215</v>
      </c>
      <c r="P20" s="104"/>
      <c r="Q20" s="104"/>
      <c r="R20" s="225"/>
      <c r="S20" s="226"/>
      <c r="T20" s="104"/>
      <c r="U20" s="104"/>
      <c r="V20" s="104"/>
      <c r="W20" s="104"/>
      <c r="X20" s="181"/>
    </row>
    <row r="21" spans="2:24" x14ac:dyDescent="0.25">
      <c r="B21" s="161" t="s">
        <v>220</v>
      </c>
      <c r="C21" s="103" t="s">
        <v>206</v>
      </c>
      <c r="D21" s="100" t="s">
        <v>193</v>
      </c>
      <c r="E21" s="102" t="s">
        <v>105</v>
      </c>
      <c r="F21" s="103">
        <v>15.7</v>
      </c>
      <c r="G21" s="104">
        <v>2.7</v>
      </c>
      <c r="H21" s="105">
        <f t="shared" ref="H21:H22" si="8">G21*F21</f>
        <v>42.39</v>
      </c>
      <c r="I21" s="104"/>
      <c r="J21" s="196" t="s">
        <v>116</v>
      </c>
      <c r="K21" s="178" t="s">
        <v>107</v>
      </c>
      <c r="L21" s="104" t="s">
        <v>108</v>
      </c>
      <c r="M21" s="104">
        <v>380</v>
      </c>
      <c r="N21" s="104">
        <v>380</v>
      </c>
      <c r="O21" s="104">
        <v>380</v>
      </c>
      <c r="P21" s="104"/>
      <c r="Q21" s="104"/>
      <c r="R21" s="225"/>
      <c r="S21" s="226"/>
      <c r="T21" s="104"/>
      <c r="U21" s="104"/>
      <c r="V21" s="104"/>
      <c r="W21" s="104"/>
      <c r="X21" s="181"/>
    </row>
    <row r="22" spans="2:24" x14ac:dyDescent="0.25">
      <c r="B22" s="161" t="s">
        <v>221</v>
      </c>
      <c r="C22" s="103" t="s">
        <v>222</v>
      </c>
      <c r="D22" s="100" t="s">
        <v>193</v>
      </c>
      <c r="E22" s="102" t="s">
        <v>105</v>
      </c>
      <c r="F22" s="103">
        <v>81</v>
      </c>
      <c r="G22" s="104">
        <v>2.7</v>
      </c>
      <c r="H22" s="105">
        <f t="shared" si="8"/>
        <v>218.70000000000002</v>
      </c>
      <c r="I22" s="104"/>
      <c r="J22" s="196"/>
      <c r="K22" s="178"/>
      <c r="L22" s="104"/>
      <c r="M22" s="104">
        <v>1650</v>
      </c>
      <c r="N22" s="104">
        <v>1650</v>
      </c>
      <c r="O22" s="104">
        <v>1410</v>
      </c>
      <c r="P22" s="104"/>
      <c r="Q22" s="104"/>
      <c r="R22" s="225"/>
      <c r="S22" s="226"/>
      <c r="T22" s="104"/>
      <c r="U22" s="104"/>
      <c r="V22" s="104"/>
      <c r="W22" s="104"/>
      <c r="X22" s="181"/>
    </row>
    <row r="23" spans="2:24" x14ac:dyDescent="0.25">
      <c r="B23" s="161" t="s">
        <v>223</v>
      </c>
      <c r="C23" s="103" t="s">
        <v>224</v>
      </c>
      <c r="D23" s="100" t="s">
        <v>193</v>
      </c>
      <c r="E23" s="102" t="s">
        <v>105</v>
      </c>
      <c r="F23" s="103">
        <v>46.8</v>
      </c>
      <c r="G23" s="104">
        <v>2.7</v>
      </c>
      <c r="H23" s="105">
        <f t="shared" ref="H23:H24" si="9">G23*F23</f>
        <v>126.36</v>
      </c>
      <c r="I23" s="104"/>
      <c r="J23" s="196" t="s">
        <v>116</v>
      </c>
      <c r="K23" s="178" t="s">
        <v>107</v>
      </c>
      <c r="L23" s="104" t="s">
        <v>108</v>
      </c>
      <c r="M23" s="104">
        <v>200</v>
      </c>
      <c r="N23" s="104">
        <v>200</v>
      </c>
      <c r="O23" s="104">
        <v>0</v>
      </c>
      <c r="P23" s="104">
        <v>0</v>
      </c>
      <c r="Q23" s="104">
        <v>0</v>
      </c>
      <c r="R23" s="225"/>
      <c r="S23" s="226"/>
      <c r="T23" s="104"/>
      <c r="U23" s="104"/>
      <c r="V23" s="104"/>
      <c r="W23" s="104"/>
      <c r="X23" s="181"/>
    </row>
    <row r="24" spans="2:24" x14ac:dyDescent="0.25">
      <c r="B24" s="161" t="s">
        <v>225</v>
      </c>
      <c r="C24" s="103" t="s">
        <v>224</v>
      </c>
      <c r="D24" s="100" t="s">
        <v>193</v>
      </c>
      <c r="E24" s="102" t="s">
        <v>105</v>
      </c>
      <c r="F24" s="103">
        <v>32.17</v>
      </c>
      <c r="G24" s="104">
        <v>2.7</v>
      </c>
      <c r="H24" s="105">
        <f t="shared" si="9"/>
        <v>86.859000000000009</v>
      </c>
      <c r="I24" s="104"/>
      <c r="J24" s="196" t="s">
        <v>116</v>
      </c>
      <c r="K24" s="178" t="s">
        <v>107</v>
      </c>
      <c r="L24" s="104" t="s">
        <v>108</v>
      </c>
      <c r="M24" s="104">
        <v>150</v>
      </c>
      <c r="N24" s="104">
        <v>450</v>
      </c>
      <c r="O24" s="104">
        <v>0</v>
      </c>
      <c r="P24" s="104">
        <v>0</v>
      </c>
      <c r="Q24" s="104">
        <v>0</v>
      </c>
      <c r="R24" s="225"/>
      <c r="S24" s="226"/>
      <c r="T24" s="104"/>
      <c r="U24" s="104"/>
      <c r="V24" s="104"/>
      <c r="W24" s="104"/>
      <c r="X24" s="181"/>
    </row>
    <row r="25" spans="2:24" ht="15.75" thickBot="1" x14ac:dyDescent="0.3">
      <c r="B25" s="161" t="s">
        <v>226</v>
      </c>
      <c r="C25" s="169" t="s">
        <v>224</v>
      </c>
      <c r="D25" s="170" t="s">
        <v>193</v>
      </c>
      <c r="E25" s="171" t="s">
        <v>105</v>
      </c>
      <c r="F25" s="169">
        <v>37.58</v>
      </c>
      <c r="G25" s="172">
        <v>2.7</v>
      </c>
      <c r="H25" s="173">
        <f t="shared" ref="H25" si="10">G25*F25</f>
        <v>101.46600000000001</v>
      </c>
      <c r="I25" s="172"/>
      <c r="J25" s="197" t="s">
        <v>116</v>
      </c>
      <c r="K25" s="179" t="s">
        <v>107</v>
      </c>
      <c r="L25" s="172" t="s">
        <v>108</v>
      </c>
      <c r="M25" s="172">
        <v>300</v>
      </c>
      <c r="N25" s="172">
        <v>450</v>
      </c>
      <c r="O25" s="172">
        <v>0</v>
      </c>
      <c r="P25" s="172">
        <v>0</v>
      </c>
      <c r="Q25" s="172">
        <v>0</v>
      </c>
      <c r="R25" s="180"/>
      <c r="S25" s="182"/>
      <c r="T25" s="172"/>
      <c r="U25" s="172"/>
      <c r="V25" s="172"/>
      <c r="W25" s="172"/>
      <c r="X25" s="183"/>
    </row>
    <row r="26" spans="2:24" x14ac:dyDescent="0.25">
      <c r="M26" s="188">
        <f>SUM(M5:M25)</f>
        <v>12035</v>
      </c>
      <c r="N26" s="188">
        <f>SUM(N5:N25)</f>
        <v>7830</v>
      </c>
      <c r="O26" s="188">
        <f>SUM(O5:O25)</f>
        <v>7010</v>
      </c>
      <c r="P26" s="188">
        <f t="shared" ref="P26:Q26" si="11">SUM(P5:P25)</f>
        <v>4500</v>
      </c>
      <c r="Q26" s="188">
        <f t="shared" si="11"/>
        <v>320</v>
      </c>
    </row>
  </sheetData>
  <mergeCells count="6">
    <mergeCell ref="X3:X4"/>
    <mergeCell ref="S3:S4"/>
    <mergeCell ref="T3:T4"/>
    <mergeCell ref="U3:U4"/>
    <mergeCell ref="V3:V4"/>
    <mergeCell ref="W3:W4"/>
  </mergeCells>
  <phoneticPr fontId="3" type="noConversion"/>
  <pageMargins left="0.7" right="0.7" top="0.75" bottom="0.75" header="0.3" footer="0.3"/>
  <pageSetup paperSize="8" scale="6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73E4A0-A138-47A6-9FAE-C3B9B487DC46}">
  <dimension ref="B1:F44"/>
  <sheetViews>
    <sheetView workbookViewId="0">
      <selection activeCell="F28" sqref="F23:F28"/>
    </sheetView>
  </sheetViews>
  <sheetFormatPr baseColWidth="10" defaultColWidth="11.42578125" defaultRowHeight="15" x14ac:dyDescent="0.25"/>
  <cols>
    <col min="1" max="1" width="4.42578125" customWidth="1"/>
    <col min="2" max="2" width="36.28515625" bestFit="1" customWidth="1"/>
    <col min="3" max="3" width="14.85546875" bestFit="1" customWidth="1"/>
    <col min="4" max="4" width="5.28515625" bestFit="1" customWidth="1"/>
    <col min="5" max="5" width="4.7109375" customWidth="1"/>
  </cols>
  <sheetData>
    <row r="1" spans="2:6" ht="15.75" thickBot="1" x14ac:dyDescent="0.3"/>
    <row r="2" spans="2:6" ht="15.75" thickBot="1" x14ac:dyDescent="0.3">
      <c r="C2" s="213" t="s">
        <v>227</v>
      </c>
      <c r="D2" s="198"/>
    </row>
    <row r="3" spans="2:6" ht="16.5" x14ac:dyDescent="0.25">
      <c r="B3" s="202" t="s">
        <v>228</v>
      </c>
      <c r="C3" s="211">
        <f>'Bilan aéraulique'!X38</f>
        <v>34160</v>
      </c>
      <c r="D3" s="212" t="s">
        <v>229</v>
      </c>
    </row>
    <row r="4" spans="2:6" ht="16.5" x14ac:dyDescent="0.25">
      <c r="B4" s="203" t="s">
        <v>230</v>
      </c>
      <c r="C4" s="207">
        <f>'Bilan aéraulique phase 1'!M26</f>
        <v>12035</v>
      </c>
      <c r="D4" s="208" t="s">
        <v>229</v>
      </c>
      <c r="F4" s="3"/>
    </row>
    <row r="5" spans="2:6" ht="17.25" thickBot="1" x14ac:dyDescent="0.3">
      <c r="B5" s="204" t="s">
        <v>231</v>
      </c>
      <c r="C5" s="210">
        <v>2400</v>
      </c>
      <c r="D5" s="209" t="s">
        <v>229</v>
      </c>
    </row>
    <row r="6" spans="2:6" ht="16.5" x14ac:dyDescent="0.25">
      <c r="B6" s="202" t="s">
        <v>232</v>
      </c>
      <c r="C6" s="205">
        <v>23000</v>
      </c>
      <c r="D6" s="206" t="s">
        <v>229</v>
      </c>
    </row>
    <row r="7" spans="2:6" ht="17.25" thickBot="1" x14ac:dyDescent="0.3">
      <c r="B7" s="203" t="s">
        <v>233</v>
      </c>
      <c r="C7" s="207">
        <f>C8-C6</f>
        <v>25595</v>
      </c>
      <c r="D7" s="208" t="s">
        <v>229</v>
      </c>
    </row>
    <row r="8" spans="2:6" ht="17.25" thickBot="1" x14ac:dyDescent="0.3">
      <c r="B8" s="199" t="s">
        <v>234</v>
      </c>
      <c r="C8" s="200">
        <f>SUM(C3:C5)</f>
        <v>48595</v>
      </c>
      <c r="D8" s="201" t="s">
        <v>235</v>
      </c>
      <c r="F8" s="3"/>
    </row>
    <row r="10" spans="2:6" ht="15.75" thickBot="1" x14ac:dyDescent="0.3"/>
    <row r="11" spans="2:6" ht="15.75" thickBot="1" x14ac:dyDescent="0.3">
      <c r="C11" s="213" t="s">
        <v>227</v>
      </c>
      <c r="D11" s="198"/>
    </row>
    <row r="12" spans="2:6" ht="16.5" x14ac:dyDescent="0.25">
      <c r="B12" s="202" t="s">
        <v>236</v>
      </c>
      <c r="C12" s="211">
        <f>'Bilan aéraulique'!Z38</f>
        <v>3960</v>
      </c>
      <c r="D12" s="212" t="s">
        <v>229</v>
      </c>
    </row>
    <row r="13" spans="2:6" ht="16.5" x14ac:dyDescent="0.25">
      <c r="B13" s="203" t="s">
        <v>237</v>
      </c>
      <c r="C13" s="207">
        <f>'Bilan aéraulique phase 1'!O26</f>
        <v>7010</v>
      </c>
      <c r="D13" s="208" t="s">
        <v>229</v>
      </c>
    </row>
    <row r="14" spans="2:6" ht="17.25" thickBot="1" x14ac:dyDescent="0.3">
      <c r="B14" s="204" t="s">
        <v>238</v>
      </c>
      <c r="C14" s="210">
        <v>2400</v>
      </c>
      <c r="D14" s="209" t="s">
        <v>229</v>
      </c>
    </row>
    <row r="15" spans="2:6" ht="17.25" thickBot="1" x14ac:dyDescent="0.3">
      <c r="B15" s="202" t="s">
        <v>239</v>
      </c>
      <c r="C15" s="205">
        <v>23000</v>
      </c>
      <c r="D15" s="206" t="s">
        <v>229</v>
      </c>
    </row>
    <row r="16" spans="2:6" ht="17.25" thickBot="1" x14ac:dyDescent="0.3">
      <c r="B16" s="199" t="s">
        <v>240</v>
      </c>
      <c r="C16" s="200">
        <f>SUM(C12:C14)</f>
        <v>13370</v>
      </c>
      <c r="D16" s="201" t="s">
        <v>235</v>
      </c>
    </row>
    <row r="18" spans="2:6" ht="15.75" thickBot="1" x14ac:dyDescent="0.3"/>
    <row r="19" spans="2:6" ht="15.75" thickBot="1" x14ac:dyDescent="0.3">
      <c r="C19" s="213" t="s">
        <v>227</v>
      </c>
      <c r="D19" s="198"/>
    </row>
    <row r="20" spans="2:6" ht="16.5" x14ac:dyDescent="0.25">
      <c r="B20" s="202" t="s">
        <v>241</v>
      </c>
      <c r="C20" s="211">
        <f>'Bilan aéraulique'!AB38</f>
        <v>30850</v>
      </c>
      <c r="D20" s="212" t="s">
        <v>229</v>
      </c>
    </row>
    <row r="21" spans="2:6" ht="16.5" x14ac:dyDescent="0.25">
      <c r="B21" s="203" t="s">
        <v>242</v>
      </c>
      <c r="C21" s="207">
        <f>'Bilan aéraulique phase 1'!P26</f>
        <v>4500</v>
      </c>
      <c r="D21" s="208" t="s">
        <v>229</v>
      </c>
    </row>
    <row r="22" spans="2:6" ht="17.25" thickBot="1" x14ac:dyDescent="0.3">
      <c r="B22" s="204" t="s">
        <v>243</v>
      </c>
      <c r="C22" s="210">
        <v>0</v>
      </c>
      <c r="D22" s="209" t="s">
        <v>229</v>
      </c>
    </row>
    <row r="23" spans="2:6" ht="16.5" x14ac:dyDescent="0.25">
      <c r="B23" s="202" t="s">
        <v>244</v>
      </c>
      <c r="C23" s="214">
        <v>1700</v>
      </c>
      <c r="D23" s="206" t="s">
        <v>229</v>
      </c>
    </row>
    <row r="24" spans="2:6" ht="16.5" x14ac:dyDescent="0.25">
      <c r="B24" s="203" t="s">
        <v>245</v>
      </c>
      <c r="C24" s="214">
        <v>1690</v>
      </c>
      <c r="D24" s="208" t="s">
        <v>229</v>
      </c>
    </row>
    <row r="25" spans="2:6" ht="16.5" x14ac:dyDescent="0.25">
      <c r="B25" s="203" t="s">
        <v>246</v>
      </c>
      <c r="C25" s="214">
        <v>1380</v>
      </c>
      <c r="D25" s="208" t="s">
        <v>229</v>
      </c>
    </row>
    <row r="26" spans="2:6" ht="16.5" x14ac:dyDescent="0.25">
      <c r="B26" s="203" t="s">
        <v>247</v>
      </c>
      <c r="C26" s="214">
        <v>17230</v>
      </c>
      <c r="D26" s="208" t="s">
        <v>229</v>
      </c>
    </row>
    <row r="27" spans="2:6" ht="16.5" x14ac:dyDescent="0.25">
      <c r="B27" s="203" t="s">
        <v>248</v>
      </c>
      <c r="C27" s="214">
        <v>11500</v>
      </c>
      <c r="D27" s="208" t="s">
        <v>229</v>
      </c>
      <c r="F27" s="3"/>
    </row>
    <row r="28" spans="2:6" ht="17.25" thickBot="1" x14ac:dyDescent="0.3">
      <c r="B28" s="204" t="s">
        <v>249</v>
      </c>
      <c r="C28" s="210">
        <f>'Bilan aéraulique'!AB20</f>
        <v>1840</v>
      </c>
      <c r="D28" s="209" t="s">
        <v>229</v>
      </c>
    </row>
    <row r="29" spans="2:6" ht="17.25" thickBot="1" x14ac:dyDescent="0.3">
      <c r="B29" s="199" t="s">
        <v>250</v>
      </c>
      <c r="C29" s="200">
        <f>SUM(C20:C22)</f>
        <v>35350</v>
      </c>
      <c r="D29" s="201" t="s">
        <v>235</v>
      </c>
    </row>
    <row r="34" spans="2:3" ht="15.75" thickBot="1" x14ac:dyDescent="0.3"/>
    <row r="35" spans="2:3" x14ac:dyDescent="0.25">
      <c r="B35" s="219" t="s">
        <v>251</v>
      </c>
      <c r="C35" s="220">
        <f>(SUMIF('Bilan aéraulique'!V5:V37,"CTA labo 12",'Bilan aéraulique'!X5:X37))+SUM('Bilan aéraulique phase 1'!M5:M25)+C5</f>
        <v>21995</v>
      </c>
    </row>
    <row r="36" spans="2:3" x14ac:dyDescent="0.25">
      <c r="B36" s="221" t="s">
        <v>252</v>
      </c>
      <c r="C36" s="222">
        <f>SUMIF('Bilan aéraulique'!V6:V38,"CTA labo 12B",'Bilan aéraulique'!X6:X38)</f>
        <v>26600</v>
      </c>
    </row>
    <row r="37" spans="2:3" x14ac:dyDescent="0.25">
      <c r="B37" s="221"/>
      <c r="C37" s="222"/>
    </row>
    <row r="38" spans="2:3" x14ac:dyDescent="0.25">
      <c r="B38" s="221" t="s">
        <v>253</v>
      </c>
      <c r="C38" s="222">
        <f>C44-1690</f>
        <v>1700</v>
      </c>
    </row>
    <row r="39" spans="2:3" x14ac:dyDescent="0.25">
      <c r="B39" s="221" t="s">
        <v>254</v>
      </c>
      <c r="C39" s="222">
        <f>C44-C38</f>
        <v>1690</v>
      </c>
    </row>
    <row r="40" spans="2:3" x14ac:dyDescent="0.25">
      <c r="B40" s="221" t="s">
        <v>255</v>
      </c>
      <c r="C40" s="222">
        <f>(SUMIF('Bilan aéraulique'!AD5:AD37,"EXT 3",'Bilan aéraulique'!AB5:AB37))+(SUMIF('Bilan aéraulique phase 1'!R5:R25,"EXT 3",'Bilan aéraulique phase 1'!P5:P25))</f>
        <v>1380</v>
      </c>
    </row>
    <row r="41" spans="2:3" x14ac:dyDescent="0.25">
      <c r="B41" s="221" t="s">
        <v>256</v>
      </c>
      <c r="C41" s="222">
        <f>((SUMIF('Bilan aéraulique'!AD5:AD37,"EXT 4",'Bilan aéraulique'!AB5:AB37))+(SUMIF('Bilan aéraulique phase 1'!R5:R25,"EXT 4",'Bilan aéraulique phase 1'!P5:P25)))+(1100+80+500)</f>
        <v>17230</v>
      </c>
    </row>
    <row r="42" spans="2:3" ht="15.75" thickBot="1" x14ac:dyDescent="0.3">
      <c r="B42" s="223" t="s">
        <v>257</v>
      </c>
      <c r="C42" s="224">
        <f>((SUMIF('Bilan aéraulique'!AD5:AD37,"EXT 5",'Bilan aéraulique'!AB5:AB37))+(SUMIF('Bilan aéraulique phase 1'!R5:R25,"EXT 5",'Bilan aéraulique phase 1'!P5:P25)))+(120*3+1100+2200*3)</f>
        <v>11500</v>
      </c>
    </row>
    <row r="43" spans="2:3" x14ac:dyDescent="0.25">
      <c r="B43" t="s">
        <v>258</v>
      </c>
      <c r="C43">
        <f>(SUMIF('Bilan aéraulique'!AD5:AD37,"EXT 4 + 5",'Bilan aéraulique'!AB5:AB37))+(SUMIF('Bilan aéraulique phase 1'!R5:R25,"EXT 4 + 5",'Bilan aéraulique phase 1'!P5:P25))</f>
        <v>9750</v>
      </c>
    </row>
    <row r="44" spans="2:3" x14ac:dyDescent="0.25">
      <c r="B44" t="s">
        <v>259</v>
      </c>
      <c r="C44">
        <f>(SUMIF('Bilan aéraulique'!AD5:AD37,"EXT 1 + 2",'Bilan aéraulique'!AB5:AB37))+(SUMIF('Bilan aéraulique phase 1'!R5:R25,"EXT 1 + 2",'Bilan aéraulique phase 1'!P5:P25))</f>
        <v>3390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05260-73DC-4860-A24B-8C19D9267EC5}">
  <dimension ref="A1:V44"/>
  <sheetViews>
    <sheetView topLeftCell="C1" zoomScale="80" zoomScaleNormal="80" workbookViewId="0">
      <pane xSplit="1" ySplit="5" topLeftCell="D6" activePane="bottomRight" state="frozen"/>
      <selection pane="topRight" activeCell="D1" sqref="D1"/>
      <selection pane="bottomLeft" activeCell="C6" sqref="C6"/>
      <selection pane="bottomRight" activeCell="L39" sqref="L6:L39"/>
    </sheetView>
  </sheetViews>
  <sheetFormatPr baseColWidth="10" defaultColWidth="11.42578125" defaultRowHeight="15" x14ac:dyDescent="0.25"/>
  <cols>
    <col min="1" max="1" width="7.28515625" customWidth="1"/>
    <col min="2" max="2" width="18.42578125" style="1" customWidth="1"/>
    <col min="3" max="3" width="37.28515625" customWidth="1"/>
    <col min="4" max="4" width="25.5703125" style="5" customWidth="1"/>
    <col min="5" max="5" width="11.140625" style="5" customWidth="1"/>
    <col min="6" max="6" width="12.28515625" style="2" customWidth="1"/>
    <col min="7" max="7" width="9.85546875" customWidth="1"/>
    <col min="8" max="8" width="16.28515625" customWidth="1"/>
    <col min="9" max="9" width="4.140625" bestFit="1" customWidth="1"/>
    <col min="10" max="10" width="12.28515625" bestFit="1" customWidth="1"/>
    <col min="11" max="11" width="9.85546875" customWidth="1"/>
    <col min="12" max="12" width="18.5703125" customWidth="1"/>
    <col min="13" max="13" width="3.5703125" bestFit="1" customWidth="1"/>
    <col min="14" max="14" width="12.85546875" bestFit="1" customWidth="1"/>
    <col min="15" max="15" width="15.7109375" customWidth="1"/>
  </cols>
  <sheetData>
    <row r="1" spans="1:22" x14ac:dyDescent="0.25">
      <c r="C1" s="2"/>
      <c r="D1" s="2"/>
      <c r="E1" s="2"/>
      <c r="G1" s="2"/>
      <c r="H1" s="2"/>
      <c r="O1" s="6"/>
    </row>
    <row r="2" spans="1:22" ht="15.75" thickBot="1" x14ac:dyDescent="0.3">
      <c r="D2" s="2"/>
      <c r="E2" s="2"/>
    </row>
    <row r="3" spans="1:22" ht="15.75" x14ac:dyDescent="0.25">
      <c r="A3" s="4"/>
      <c r="B3" s="231" t="s">
        <v>260</v>
      </c>
      <c r="C3" s="232"/>
      <c r="D3" s="232"/>
      <c r="E3" s="232"/>
      <c r="F3" s="232"/>
      <c r="G3" s="232"/>
      <c r="H3" s="233"/>
      <c r="I3" s="234" t="s">
        <v>261</v>
      </c>
      <c r="J3" s="235"/>
      <c r="K3" s="235"/>
      <c r="L3" s="235"/>
      <c r="M3" s="235"/>
      <c r="N3" s="235"/>
      <c r="O3" s="235"/>
      <c r="P3" s="235"/>
      <c r="Q3" s="235"/>
      <c r="R3" s="235"/>
      <c r="S3" s="235"/>
      <c r="T3" s="235"/>
      <c r="U3" s="235"/>
      <c r="V3" s="236"/>
    </row>
    <row r="4" spans="1:22" ht="76.5" x14ac:dyDescent="0.25">
      <c r="A4" s="7"/>
      <c r="B4" s="89" t="s">
        <v>4</v>
      </c>
      <c r="C4" s="90" t="s">
        <v>5</v>
      </c>
      <c r="D4" s="90" t="s">
        <v>6</v>
      </c>
      <c r="E4" s="90" t="s">
        <v>7</v>
      </c>
      <c r="F4" s="90" t="s">
        <v>8</v>
      </c>
      <c r="G4" s="90" t="s">
        <v>9</v>
      </c>
      <c r="H4" s="91" t="s">
        <v>10</v>
      </c>
      <c r="I4" s="95" t="s">
        <v>262</v>
      </c>
      <c r="J4" s="96" t="s">
        <v>263</v>
      </c>
      <c r="K4" s="96" t="s">
        <v>264</v>
      </c>
      <c r="L4" s="97" t="s">
        <v>265</v>
      </c>
      <c r="M4" s="96" t="s">
        <v>266</v>
      </c>
      <c r="N4" s="97" t="s">
        <v>267</v>
      </c>
      <c r="O4" s="97" t="s">
        <v>43</v>
      </c>
      <c r="P4" s="97" t="s">
        <v>45</v>
      </c>
      <c r="Q4" s="97" t="s">
        <v>46</v>
      </c>
      <c r="R4" s="97" t="s">
        <v>50</v>
      </c>
      <c r="S4" s="97" t="s">
        <v>51</v>
      </c>
      <c r="T4" s="97" t="s">
        <v>52</v>
      </c>
      <c r="U4" s="97" t="s">
        <v>65</v>
      </c>
      <c r="V4" s="123" t="s">
        <v>66</v>
      </c>
    </row>
    <row r="5" spans="1:22" ht="26.25" thickBot="1" x14ac:dyDescent="0.3">
      <c r="A5" s="7"/>
      <c r="B5" s="92"/>
      <c r="C5" s="93"/>
      <c r="D5" s="93"/>
      <c r="E5" s="93"/>
      <c r="F5" s="93" t="s">
        <v>94</v>
      </c>
      <c r="G5" s="93" t="s">
        <v>95</v>
      </c>
      <c r="H5" s="94" t="s">
        <v>96</v>
      </c>
      <c r="I5" s="98"/>
      <c r="J5" s="99"/>
      <c r="K5" s="124" t="s">
        <v>268</v>
      </c>
      <c r="L5" s="99"/>
      <c r="M5" s="99"/>
      <c r="N5" s="124"/>
      <c r="O5" s="124" t="s">
        <v>269</v>
      </c>
      <c r="P5" s="124" t="s">
        <v>270</v>
      </c>
      <c r="Q5" s="124" t="s">
        <v>270</v>
      </c>
      <c r="R5" s="124" t="s">
        <v>268</v>
      </c>
      <c r="S5" s="124" t="s">
        <v>268</v>
      </c>
      <c r="T5" s="124" t="s">
        <v>268</v>
      </c>
      <c r="U5" s="124" t="s">
        <v>268</v>
      </c>
      <c r="V5" s="125" t="s">
        <v>268</v>
      </c>
    </row>
    <row r="6" spans="1:22" x14ac:dyDescent="0.25">
      <c r="A6" s="2"/>
      <c r="B6" s="66" t="s">
        <v>102</v>
      </c>
      <c r="C6" s="84" t="s">
        <v>103</v>
      </c>
      <c r="D6" s="85" t="s">
        <v>104</v>
      </c>
      <c r="E6" s="85" t="s">
        <v>105</v>
      </c>
      <c r="F6" s="86">
        <v>16.3</v>
      </c>
      <c r="G6" s="87">
        <v>2.7</v>
      </c>
      <c r="H6" s="88">
        <f t="shared" ref="H6:H40" si="0">G6*F6</f>
        <v>44.010000000000005</v>
      </c>
      <c r="I6" s="87"/>
      <c r="J6" s="87"/>
      <c r="K6" s="87"/>
      <c r="L6" s="87">
        <v>1</v>
      </c>
      <c r="M6" s="87"/>
      <c r="N6" s="87"/>
      <c r="O6" s="87"/>
      <c r="P6" s="87"/>
      <c r="Q6" s="87"/>
      <c r="R6" s="87"/>
      <c r="S6" s="87"/>
      <c r="T6" s="87"/>
      <c r="U6" s="87"/>
      <c r="V6" s="87"/>
    </row>
    <row r="7" spans="1:22" x14ac:dyDescent="0.25">
      <c r="A7" s="2"/>
      <c r="B7" s="67" t="s">
        <v>114</v>
      </c>
      <c r="C7" s="74" t="s">
        <v>115</v>
      </c>
      <c r="D7" s="75" t="s">
        <v>104</v>
      </c>
      <c r="E7" s="75" t="s">
        <v>105</v>
      </c>
      <c r="F7" s="76">
        <v>59.33</v>
      </c>
      <c r="G7" s="77">
        <v>2.7</v>
      </c>
      <c r="H7" s="78">
        <f t="shared" si="0"/>
        <v>160.191</v>
      </c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</row>
    <row r="8" spans="1:22" x14ac:dyDescent="0.25">
      <c r="A8" s="2"/>
      <c r="B8" s="66" t="s">
        <v>118</v>
      </c>
      <c r="C8" s="69" t="s">
        <v>119</v>
      </c>
      <c r="D8" s="70" t="s">
        <v>104</v>
      </c>
      <c r="E8" s="70" t="s">
        <v>105</v>
      </c>
      <c r="F8" s="71">
        <v>107.14</v>
      </c>
      <c r="G8" s="72">
        <v>2.7</v>
      </c>
      <c r="H8" s="73">
        <f t="shared" si="0"/>
        <v>289.27800000000002</v>
      </c>
      <c r="I8" s="72"/>
      <c r="J8" s="72"/>
      <c r="K8" s="72"/>
      <c r="L8" s="72">
        <v>1</v>
      </c>
      <c r="M8" s="72"/>
      <c r="N8" s="72"/>
      <c r="O8" s="72"/>
      <c r="P8" s="72"/>
      <c r="Q8" s="72"/>
      <c r="R8" s="72"/>
      <c r="S8" s="72"/>
      <c r="T8" s="72"/>
      <c r="U8" s="72"/>
      <c r="V8" s="72"/>
    </row>
    <row r="9" spans="1:22" x14ac:dyDescent="0.25">
      <c r="A9" s="2"/>
      <c r="B9" s="67" t="s">
        <v>121</v>
      </c>
      <c r="C9" s="74" t="s">
        <v>115</v>
      </c>
      <c r="D9" s="75" t="s">
        <v>104</v>
      </c>
      <c r="E9" s="75" t="s">
        <v>105</v>
      </c>
      <c r="F9" s="76">
        <v>28.05</v>
      </c>
      <c r="G9" s="77">
        <v>2.7</v>
      </c>
      <c r="H9" s="78">
        <f t="shared" si="0"/>
        <v>75.735000000000014</v>
      </c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</row>
    <row r="10" spans="1:22" x14ac:dyDescent="0.25">
      <c r="A10" s="2"/>
      <c r="B10" s="66" t="s">
        <v>124</v>
      </c>
      <c r="C10" s="69" t="s">
        <v>125</v>
      </c>
      <c r="D10" s="70" t="s">
        <v>104</v>
      </c>
      <c r="E10" s="70" t="s">
        <v>105</v>
      </c>
      <c r="F10" s="71">
        <v>45.33</v>
      </c>
      <c r="G10" s="72">
        <v>2.7</v>
      </c>
      <c r="H10" s="73">
        <f t="shared" si="0"/>
        <v>122.39100000000001</v>
      </c>
      <c r="I10" s="72"/>
      <c r="J10" s="72"/>
      <c r="K10" s="72"/>
      <c r="L10" s="72">
        <v>2</v>
      </c>
      <c r="M10" s="72"/>
      <c r="N10" s="72"/>
      <c r="O10" s="72"/>
      <c r="P10" s="72"/>
      <c r="Q10" s="72"/>
      <c r="R10" s="72"/>
      <c r="S10" s="72"/>
      <c r="T10" s="72"/>
      <c r="U10" s="72"/>
      <c r="V10" s="72">
        <v>1</v>
      </c>
    </row>
    <row r="11" spans="1:22" x14ac:dyDescent="0.25">
      <c r="A11" s="2"/>
      <c r="B11" s="68" t="s">
        <v>126</v>
      </c>
      <c r="C11" s="79" t="s">
        <v>127</v>
      </c>
      <c r="D11" s="80" t="s">
        <v>104</v>
      </c>
      <c r="E11" s="80" t="s">
        <v>105</v>
      </c>
      <c r="F11" s="81">
        <v>34.83</v>
      </c>
      <c r="G11" s="82">
        <v>2.7</v>
      </c>
      <c r="H11" s="83">
        <f t="shared" si="0"/>
        <v>94.040999999999997</v>
      </c>
      <c r="I11" s="82"/>
      <c r="J11" s="82"/>
      <c r="K11" s="82"/>
      <c r="L11" s="82">
        <v>1</v>
      </c>
      <c r="M11" s="82"/>
      <c r="N11" s="82"/>
      <c r="O11" s="82"/>
      <c r="P11" s="82"/>
      <c r="Q11" s="82"/>
      <c r="R11" s="82"/>
      <c r="S11" s="82"/>
      <c r="T11" s="82"/>
      <c r="U11" s="82"/>
      <c r="V11" s="82"/>
    </row>
    <row r="12" spans="1:22" ht="15.75" customHeight="1" x14ac:dyDescent="0.25">
      <c r="A12" s="2"/>
      <c r="B12" s="66" t="s">
        <v>128</v>
      </c>
      <c r="C12" s="69" t="s">
        <v>129</v>
      </c>
      <c r="D12" s="70" t="s">
        <v>104</v>
      </c>
      <c r="E12" s="70" t="s">
        <v>105</v>
      </c>
      <c r="F12" s="71">
        <v>25.72</v>
      </c>
      <c r="G12" s="72">
        <v>2.7</v>
      </c>
      <c r="H12" s="73">
        <f t="shared" si="0"/>
        <v>69.444000000000003</v>
      </c>
      <c r="I12" s="72"/>
      <c r="J12" s="72"/>
      <c r="K12" s="72">
        <v>1</v>
      </c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</row>
    <row r="13" spans="1:22" x14ac:dyDescent="0.25">
      <c r="A13" s="2"/>
      <c r="B13" s="68" t="s">
        <v>130</v>
      </c>
      <c r="C13" s="79" t="s">
        <v>115</v>
      </c>
      <c r="D13" s="80" t="s">
        <v>104</v>
      </c>
      <c r="E13" s="80" t="s">
        <v>105</v>
      </c>
      <c r="F13" s="81">
        <v>13.18</v>
      </c>
      <c r="G13" s="82">
        <v>2.7</v>
      </c>
      <c r="H13" s="83">
        <f t="shared" si="0"/>
        <v>35.585999999999999</v>
      </c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</row>
    <row r="14" spans="1:22" x14ac:dyDescent="0.25">
      <c r="A14" s="2"/>
      <c r="B14" s="66" t="s">
        <v>131</v>
      </c>
      <c r="C14" s="69" t="s">
        <v>132</v>
      </c>
      <c r="D14" s="70" t="s">
        <v>104</v>
      </c>
      <c r="E14" s="70" t="s">
        <v>105</v>
      </c>
      <c r="F14" s="71">
        <v>26.05</v>
      </c>
      <c r="G14" s="72">
        <v>2.7</v>
      </c>
      <c r="H14" s="73">
        <f t="shared" si="0"/>
        <v>70.335000000000008</v>
      </c>
      <c r="I14" s="72"/>
      <c r="J14" s="72"/>
      <c r="K14" s="72"/>
      <c r="L14" s="72">
        <v>1</v>
      </c>
      <c r="M14" s="72"/>
      <c r="N14" s="72"/>
      <c r="O14" s="72"/>
      <c r="P14" s="72"/>
      <c r="Q14" s="72"/>
      <c r="R14" s="72"/>
      <c r="S14" s="72"/>
      <c r="T14" s="72"/>
      <c r="U14" s="72">
        <v>1</v>
      </c>
      <c r="V14" s="72"/>
    </row>
    <row r="15" spans="1:22" x14ac:dyDescent="0.25">
      <c r="A15" s="2"/>
      <c r="B15" s="68" t="s">
        <v>134</v>
      </c>
      <c r="C15" s="79" t="s">
        <v>135</v>
      </c>
      <c r="D15" s="80" t="s">
        <v>104</v>
      </c>
      <c r="E15" s="80" t="s">
        <v>105</v>
      </c>
      <c r="F15" s="81">
        <v>60.97</v>
      </c>
      <c r="G15" s="82">
        <v>2.7</v>
      </c>
      <c r="H15" s="83">
        <f t="shared" si="0"/>
        <v>164.619</v>
      </c>
      <c r="I15" s="82"/>
      <c r="J15" s="82"/>
      <c r="K15" s="82"/>
      <c r="L15" s="82"/>
      <c r="M15" s="82"/>
      <c r="N15" s="82"/>
      <c r="O15" s="82"/>
      <c r="P15" s="82"/>
      <c r="Q15" s="82"/>
      <c r="R15" s="82">
        <v>1</v>
      </c>
      <c r="S15" s="82">
        <v>3</v>
      </c>
      <c r="T15" s="82">
        <v>1</v>
      </c>
      <c r="U15" s="82"/>
      <c r="V15" s="82"/>
    </row>
    <row r="16" spans="1:22" x14ac:dyDescent="0.25">
      <c r="A16" s="2"/>
      <c r="B16" s="66" t="s">
        <v>137</v>
      </c>
      <c r="C16" s="69" t="s">
        <v>138</v>
      </c>
      <c r="D16" s="70" t="s">
        <v>104</v>
      </c>
      <c r="E16" s="70" t="s">
        <v>105</v>
      </c>
      <c r="F16" s="71">
        <v>28.06</v>
      </c>
      <c r="G16" s="72">
        <v>2.7</v>
      </c>
      <c r="H16" s="73">
        <f t="shared" si="0"/>
        <v>75.762</v>
      </c>
      <c r="I16" s="72"/>
      <c r="J16" s="72"/>
      <c r="K16" s="72"/>
      <c r="L16" s="72">
        <v>1</v>
      </c>
      <c r="M16" s="72">
        <v>1</v>
      </c>
      <c r="N16" s="72">
        <v>1</v>
      </c>
      <c r="O16" s="72">
        <v>1</v>
      </c>
      <c r="P16" s="72">
        <v>1</v>
      </c>
      <c r="Q16" s="72">
        <v>1</v>
      </c>
      <c r="R16" s="72"/>
      <c r="S16" s="72"/>
      <c r="T16" s="72"/>
      <c r="U16" s="72"/>
      <c r="V16" s="72"/>
    </row>
    <row r="17" spans="1:22" x14ac:dyDescent="0.25">
      <c r="A17" s="2"/>
      <c r="B17" s="68" t="s">
        <v>140</v>
      </c>
      <c r="C17" s="79" t="s">
        <v>141</v>
      </c>
      <c r="D17" s="80" t="s">
        <v>104</v>
      </c>
      <c r="E17" s="80" t="s">
        <v>105</v>
      </c>
      <c r="F17" s="81">
        <v>18.18</v>
      </c>
      <c r="G17" s="82">
        <v>2.7</v>
      </c>
      <c r="H17" s="83">
        <f t="shared" si="0"/>
        <v>49.086000000000006</v>
      </c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</row>
    <row r="18" spans="1:22" x14ac:dyDescent="0.25">
      <c r="A18" s="2"/>
      <c r="B18" s="66" t="s">
        <v>142</v>
      </c>
      <c r="C18" s="69" t="s">
        <v>143</v>
      </c>
      <c r="D18" s="70" t="s">
        <v>104</v>
      </c>
      <c r="E18" s="70" t="s">
        <v>105</v>
      </c>
      <c r="F18" s="71">
        <v>6.28</v>
      </c>
      <c r="G18" s="72">
        <v>2.7</v>
      </c>
      <c r="H18" s="73">
        <f t="shared" si="0"/>
        <v>16.956000000000003</v>
      </c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</row>
    <row r="19" spans="1:22" x14ac:dyDescent="0.25">
      <c r="A19" s="2"/>
      <c r="B19" s="68" t="s">
        <v>144</v>
      </c>
      <c r="C19" s="79" t="s">
        <v>145</v>
      </c>
      <c r="D19" s="80" t="s">
        <v>104</v>
      </c>
      <c r="E19" s="80" t="s">
        <v>105</v>
      </c>
      <c r="F19" s="81">
        <v>24.75</v>
      </c>
      <c r="G19" s="82">
        <v>2.7</v>
      </c>
      <c r="H19" s="83">
        <f t="shared" si="0"/>
        <v>66.825000000000003</v>
      </c>
      <c r="I19" s="82"/>
      <c r="J19" s="82"/>
      <c r="K19" s="82"/>
      <c r="L19" s="82"/>
      <c r="M19" s="82">
        <v>1</v>
      </c>
      <c r="N19" s="82">
        <v>1</v>
      </c>
      <c r="O19" s="82"/>
      <c r="P19" s="82"/>
      <c r="Q19" s="82"/>
      <c r="R19" s="82"/>
      <c r="S19" s="82"/>
      <c r="T19" s="82"/>
      <c r="U19" s="82"/>
      <c r="V19" s="82"/>
    </row>
    <row r="20" spans="1:22" x14ac:dyDescent="0.25">
      <c r="A20" s="2"/>
      <c r="B20" s="66" t="s">
        <v>146</v>
      </c>
      <c r="C20" s="69" t="s">
        <v>147</v>
      </c>
      <c r="D20" s="70" t="s">
        <v>104</v>
      </c>
      <c r="E20" s="70" t="s">
        <v>105</v>
      </c>
      <c r="F20" s="71">
        <v>8.92</v>
      </c>
      <c r="G20" s="72">
        <v>2.7</v>
      </c>
      <c r="H20" s="73">
        <f t="shared" si="0"/>
        <v>24.084</v>
      </c>
      <c r="I20" s="72"/>
      <c r="J20" s="72"/>
      <c r="K20" s="72"/>
      <c r="L20" s="72">
        <v>1</v>
      </c>
      <c r="M20" s="72">
        <v>1</v>
      </c>
      <c r="N20" s="72">
        <v>1</v>
      </c>
      <c r="O20" s="72"/>
      <c r="P20" s="72"/>
      <c r="Q20" s="72"/>
      <c r="R20" s="72"/>
      <c r="S20" s="72"/>
      <c r="T20" s="72"/>
      <c r="U20" s="72"/>
      <c r="V20" s="72"/>
    </row>
    <row r="21" spans="1:22" x14ac:dyDescent="0.25">
      <c r="A21" s="2"/>
      <c r="B21" s="68" t="s">
        <v>148</v>
      </c>
      <c r="C21" s="79" t="s">
        <v>149</v>
      </c>
      <c r="D21" s="80" t="s">
        <v>104</v>
      </c>
      <c r="E21" s="80" t="s">
        <v>105</v>
      </c>
      <c r="F21" s="81">
        <v>34</v>
      </c>
      <c r="G21" s="82">
        <v>2.7</v>
      </c>
      <c r="H21" s="83">
        <f t="shared" si="0"/>
        <v>91.800000000000011</v>
      </c>
      <c r="I21" s="82"/>
      <c r="J21" s="82"/>
      <c r="K21" s="82"/>
      <c r="L21" s="82"/>
      <c r="M21" s="82">
        <v>1</v>
      </c>
      <c r="N21" s="82">
        <v>1</v>
      </c>
      <c r="O21" s="82"/>
      <c r="P21" s="82"/>
      <c r="Q21" s="82"/>
      <c r="R21" s="82"/>
      <c r="S21" s="82"/>
      <c r="T21" s="82"/>
      <c r="U21" s="82"/>
      <c r="V21" s="82"/>
    </row>
    <row r="22" spans="1:22" x14ac:dyDescent="0.25">
      <c r="A22" s="2"/>
      <c r="B22" s="66" t="s">
        <v>152</v>
      </c>
      <c r="C22" s="69" t="s">
        <v>115</v>
      </c>
      <c r="D22" s="70" t="s">
        <v>104</v>
      </c>
      <c r="E22" s="70" t="s">
        <v>105</v>
      </c>
      <c r="F22" s="71">
        <v>5.77</v>
      </c>
      <c r="G22" s="72">
        <v>2.7</v>
      </c>
      <c r="H22" s="73">
        <f t="shared" si="0"/>
        <v>15.579000000000001</v>
      </c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</row>
    <row r="23" spans="1:22" x14ac:dyDescent="0.25">
      <c r="A23" s="2"/>
      <c r="B23" s="68" t="s">
        <v>153</v>
      </c>
      <c r="C23" s="79" t="s">
        <v>154</v>
      </c>
      <c r="D23" s="80" t="s">
        <v>104</v>
      </c>
      <c r="E23" s="80" t="s">
        <v>105</v>
      </c>
      <c r="F23" s="81">
        <v>19.66</v>
      </c>
      <c r="G23" s="82">
        <v>2.7</v>
      </c>
      <c r="H23" s="83">
        <f t="shared" si="0"/>
        <v>53.082000000000001</v>
      </c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</row>
    <row r="24" spans="1:22" x14ac:dyDescent="0.25">
      <c r="A24" s="2"/>
      <c r="B24" s="66" t="s">
        <v>155</v>
      </c>
      <c r="C24" s="69" t="s">
        <v>154</v>
      </c>
      <c r="D24" s="70" t="s">
        <v>104</v>
      </c>
      <c r="E24" s="70" t="s">
        <v>105</v>
      </c>
      <c r="F24" s="71">
        <v>33.450000000000003</v>
      </c>
      <c r="G24" s="72">
        <v>2.7</v>
      </c>
      <c r="H24" s="73">
        <f t="shared" si="0"/>
        <v>90.315000000000012</v>
      </c>
      <c r="I24" s="72"/>
      <c r="J24" s="72"/>
      <c r="K24" s="72"/>
      <c r="L24" s="72"/>
      <c r="M24" s="72">
        <v>1</v>
      </c>
      <c r="N24" s="72">
        <v>1</v>
      </c>
      <c r="O24" s="72"/>
      <c r="P24" s="72"/>
      <c r="Q24" s="72"/>
      <c r="R24" s="72"/>
      <c r="S24" s="72"/>
      <c r="T24" s="72"/>
      <c r="U24" s="72"/>
      <c r="V24" s="72"/>
    </row>
    <row r="25" spans="1:22" x14ac:dyDescent="0.25">
      <c r="A25" s="2"/>
      <c r="B25" s="68" t="s">
        <v>156</v>
      </c>
      <c r="C25" s="79" t="s">
        <v>157</v>
      </c>
      <c r="D25" s="80" t="s">
        <v>104</v>
      </c>
      <c r="E25" s="80" t="s">
        <v>105</v>
      </c>
      <c r="F25" s="81">
        <v>3.87</v>
      </c>
      <c r="G25" s="82">
        <v>2.7</v>
      </c>
      <c r="H25" s="83">
        <f t="shared" si="0"/>
        <v>10.449000000000002</v>
      </c>
      <c r="I25" s="82">
        <v>1</v>
      </c>
      <c r="J25" s="82">
        <v>1</v>
      </c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</row>
    <row r="26" spans="1:22" x14ac:dyDescent="0.25">
      <c r="A26" s="2"/>
      <c r="B26" s="66" t="s">
        <v>158</v>
      </c>
      <c r="C26" s="69" t="s">
        <v>159</v>
      </c>
      <c r="D26" s="70" t="s">
        <v>104</v>
      </c>
      <c r="E26" s="70" t="s">
        <v>105</v>
      </c>
      <c r="F26" s="71">
        <v>2.04</v>
      </c>
      <c r="G26" s="72">
        <v>2.7</v>
      </c>
      <c r="H26" s="73">
        <f t="shared" si="0"/>
        <v>5.5080000000000009</v>
      </c>
      <c r="I26" s="72">
        <v>1</v>
      </c>
      <c r="J26" s="72">
        <v>1</v>
      </c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</row>
    <row r="27" spans="1:22" x14ac:dyDescent="0.25">
      <c r="A27" s="2"/>
      <c r="B27" s="68" t="s">
        <v>160</v>
      </c>
      <c r="C27" s="79" t="s">
        <v>161</v>
      </c>
      <c r="D27" s="80" t="s">
        <v>104</v>
      </c>
      <c r="E27" s="80" t="s">
        <v>105</v>
      </c>
      <c r="F27" s="81">
        <v>2.04</v>
      </c>
      <c r="G27" s="82">
        <v>2.7</v>
      </c>
      <c r="H27" s="83">
        <f t="shared" si="0"/>
        <v>5.5080000000000009</v>
      </c>
      <c r="I27" s="82">
        <v>1</v>
      </c>
      <c r="J27" s="82">
        <v>1</v>
      </c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</row>
    <row r="28" spans="1:22" x14ac:dyDescent="0.25">
      <c r="A28" s="2"/>
      <c r="B28" s="66" t="s">
        <v>162</v>
      </c>
      <c r="C28" s="69" t="s">
        <v>163</v>
      </c>
      <c r="D28" s="70" t="s">
        <v>104</v>
      </c>
      <c r="E28" s="70" t="s">
        <v>105</v>
      </c>
      <c r="F28" s="71">
        <v>1.95</v>
      </c>
      <c r="G28" s="72">
        <v>2.7</v>
      </c>
      <c r="H28" s="73">
        <f t="shared" si="0"/>
        <v>5.2650000000000006</v>
      </c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</row>
    <row r="29" spans="1:22" x14ac:dyDescent="0.25">
      <c r="A29" s="2"/>
      <c r="B29" s="68" t="s">
        <v>164</v>
      </c>
      <c r="C29" s="79" t="s">
        <v>165</v>
      </c>
      <c r="D29" s="80" t="s">
        <v>104</v>
      </c>
      <c r="E29" s="80" t="s">
        <v>105</v>
      </c>
      <c r="F29" s="81">
        <v>1.5549999999999999</v>
      </c>
      <c r="G29" s="82">
        <v>2.7</v>
      </c>
      <c r="H29" s="83">
        <f t="shared" si="0"/>
        <v>4.1985000000000001</v>
      </c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</row>
    <row r="30" spans="1:22" x14ac:dyDescent="0.25">
      <c r="A30" s="2"/>
      <c r="B30" s="66" t="s">
        <v>166</v>
      </c>
      <c r="C30" s="69" t="s">
        <v>167</v>
      </c>
      <c r="D30" s="70" t="s">
        <v>104</v>
      </c>
      <c r="E30" s="70" t="s">
        <v>105</v>
      </c>
      <c r="F30" s="71">
        <v>2.04</v>
      </c>
      <c r="G30" s="72">
        <v>2.7</v>
      </c>
      <c r="H30" s="73">
        <f t="shared" si="0"/>
        <v>5.5080000000000009</v>
      </c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</row>
    <row r="31" spans="1:22" x14ac:dyDescent="0.25">
      <c r="A31" s="2"/>
      <c r="B31" s="68" t="s">
        <v>168</v>
      </c>
      <c r="C31" s="79" t="s">
        <v>169</v>
      </c>
      <c r="D31" s="80" t="s">
        <v>104</v>
      </c>
      <c r="E31" s="80" t="s">
        <v>105</v>
      </c>
      <c r="F31" s="81">
        <v>2.04</v>
      </c>
      <c r="G31" s="82">
        <v>2.7</v>
      </c>
      <c r="H31" s="83">
        <f t="shared" si="0"/>
        <v>5.5080000000000009</v>
      </c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</row>
    <row r="32" spans="1:22" x14ac:dyDescent="0.25">
      <c r="A32" s="2"/>
      <c r="B32" s="66" t="s">
        <v>170</v>
      </c>
      <c r="C32" s="69" t="s">
        <v>171</v>
      </c>
      <c r="D32" s="70" t="s">
        <v>104</v>
      </c>
      <c r="E32" s="70" t="s">
        <v>105</v>
      </c>
      <c r="F32" s="71">
        <v>3.45</v>
      </c>
      <c r="G32" s="72">
        <v>2.7</v>
      </c>
      <c r="H32" s="73">
        <f t="shared" si="0"/>
        <v>9.3150000000000013</v>
      </c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</row>
    <row r="33" spans="1:22" x14ac:dyDescent="0.25">
      <c r="A33" s="2"/>
      <c r="B33" s="68" t="s">
        <v>172</v>
      </c>
      <c r="C33" s="79" t="s">
        <v>173</v>
      </c>
      <c r="D33" s="80" t="s">
        <v>104</v>
      </c>
      <c r="E33" s="80" t="s">
        <v>105</v>
      </c>
      <c r="F33" s="81">
        <v>24.13</v>
      </c>
      <c r="G33" s="82">
        <v>2.7</v>
      </c>
      <c r="H33" s="83">
        <f t="shared" si="0"/>
        <v>65.150999999999996</v>
      </c>
      <c r="I33" s="82"/>
      <c r="J33" s="82"/>
      <c r="K33" s="82"/>
      <c r="L33" s="82"/>
      <c r="M33" s="82">
        <v>1</v>
      </c>
      <c r="N33" s="82">
        <v>1</v>
      </c>
      <c r="O33" s="82"/>
      <c r="P33" s="82"/>
      <c r="Q33" s="82"/>
      <c r="R33" s="82"/>
      <c r="S33" s="82"/>
      <c r="T33" s="82"/>
      <c r="U33" s="82"/>
      <c r="V33" s="82"/>
    </row>
    <row r="34" spans="1:22" x14ac:dyDescent="0.25">
      <c r="A34" s="2"/>
      <c r="B34" s="66" t="s">
        <v>174</v>
      </c>
      <c r="C34" s="69" t="s">
        <v>175</v>
      </c>
      <c r="D34" s="70" t="s">
        <v>104</v>
      </c>
      <c r="E34" s="70" t="s">
        <v>105</v>
      </c>
      <c r="F34" s="71">
        <v>22.87</v>
      </c>
      <c r="G34" s="72">
        <v>2.7</v>
      </c>
      <c r="H34" s="73">
        <f t="shared" si="0"/>
        <v>61.749000000000009</v>
      </c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</row>
    <row r="35" spans="1:22" x14ac:dyDescent="0.25">
      <c r="A35" s="2"/>
      <c r="B35" s="68" t="s">
        <v>177</v>
      </c>
      <c r="C35" s="79" t="s">
        <v>178</v>
      </c>
      <c r="D35" s="80" t="s">
        <v>104</v>
      </c>
      <c r="E35" s="80" t="s">
        <v>105</v>
      </c>
      <c r="F35" s="81">
        <v>23.27</v>
      </c>
      <c r="G35" s="82">
        <v>2.7</v>
      </c>
      <c r="H35" s="83">
        <f t="shared" si="0"/>
        <v>62.829000000000001</v>
      </c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2"/>
      <c r="T35" s="82"/>
      <c r="U35" s="82"/>
      <c r="V35" s="82"/>
    </row>
    <row r="36" spans="1:22" x14ac:dyDescent="0.25">
      <c r="A36" s="2"/>
      <c r="B36" s="66" t="s">
        <v>271</v>
      </c>
      <c r="C36" s="69" t="s">
        <v>272</v>
      </c>
      <c r="D36" s="70" t="s">
        <v>104</v>
      </c>
      <c r="E36" s="70" t="s">
        <v>105</v>
      </c>
      <c r="F36" s="71">
        <v>23.13</v>
      </c>
      <c r="G36" s="72">
        <v>2.7</v>
      </c>
      <c r="H36" s="73">
        <f t="shared" si="0"/>
        <v>62.451000000000001</v>
      </c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</row>
    <row r="37" spans="1:22" x14ac:dyDescent="0.25">
      <c r="A37" s="2"/>
      <c r="B37" s="68" t="s">
        <v>273</v>
      </c>
      <c r="C37" s="79" t="s">
        <v>274</v>
      </c>
      <c r="D37" s="80" t="s">
        <v>104</v>
      </c>
      <c r="E37" s="80" t="s">
        <v>105</v>
      </c>
      <c r="F37" s="81">
        <v>22.36</v>
      </c>
      <c r="G37" s="82">
        <v>2.7</v>
      </c>
      <c r="H37" s="83">
        <f t="shared" si="0"/>
        <v>60.372</v>
      </c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</row>
    <row r="38" spans="1:22" x14ac:dyDescent="0.25">
      <c r="A38" s="2"/>
      <c r="B38" s="66" t="s">
        <v>179</v>
      </c>
      <c r="C38" s="69" t="s">
        <v>180</v>
      </c>
      <c r="D38" s="70" t="s">
        <v>104</v>
      </c>
      <c r="E38" s="70" t="s">
        <v>105</v>
      </c>
      <c r="F38" s="71">
        <v>23.31</v>
      </c>
      <c r="G38" s="72">
        <v>2.7</v>
      </c>
      <c r="H38" s="73">
        <f t="shared" si="0"/>
        <v>62.936999999999998</v>
      </c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</row>
    <row r="39" spans="1:22" x14ac:dyDescent="0.25">
      <c r="A39" s="2"/>
      <c r="B39" s="68" t="s">
        <v>275</v>
      </c>
      <c r="C39" s="79" t="s">
        <v>182</v>
      </c>
      <c r="D39" s="80" t="s">
        <v>104</v>
      </c>
      <c r="E39" s="80" t="s">
        <v>105</v>
      </c>
      <c r="F39" s="81">
        <v>35.47</v>
      </c>
      <c r="G39" s="82">
        <v>2.7</v>
      </c>
      <c r="H39" s="83">
        <f t="shared" si="0"/>
        <v>95.769000000000005</v>
      </c>
      <c r="I39" s="82"/>
      <c r="J39" s="82"/>
      <c r="K39" s="82"/>
      <c r="L39" s="82">
        <v>1</v>
      </c>
      <c r="M39" s="82"/>
      <c r="N39" s="82"/>
      <c r="O39" s="82"/>
      <c r="P39" s="82"/>
      <c r="Q39" s="82"/>
      <c r="R39" s="82"/>
      <c r="S39" s="82"/>
      <c r="T39" s="82"/>
      <c r="U39" s="82"/>
      <c r="V39" s="82"/>
    </row>
    <row r="40" spans="1:22" x14ac:dyDescent="0.25">
      <c r="A40" s="2"/>
      <c r="B40" s="66" t="s">
        <v>276</v>
      </c>
      <c r="C40" s="69" t="s">
        <v>184</v>
      </c>
      <c r="D40" s="70" t="s">
        <v>104</v>
      </c>
      <c r="E40" s="70" t="s">
        <v>105</v>
      </c>
      <c r="F40" s="71">
        <v>73.75</v>
      </c>
      <c r="G40" s="72">
        <v>2.7</v>
      </c>
      <c r="H40" s="73">
        <f t="shared" si="0"/>
        <v>199.125</v>
      </c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</row>
    <row r="42" spans="1:22" x14ac:dyDescent="0.25">
      <c r="F42"/>
    </row>
    <row r="43" spans="1:22" x14ac:dyDescent="0.25">
      <c r="F43" s="5"/>
    </row>
    <row r="44" spans="1:22" x14ac:dyDescent="0.25">
      <c r="F44" s="5"/>
    </row>
  </sheetData>
  <mergeCells count="2">
    <mergeCell ref="B3:H3"/>
    <mergeCell ref="I3:V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Bilan aéraulique</vt:lpstr>
      <vt:lpstr>Bilan aéraulique phase 1</vt:lpstr>
      <vt:lpstr>CTA-EXT</vt:lpstr>
      <vt:lpstr>Bilan Plomberie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Nathalie BOYER</dc:creator>
  <cp:keywords/>
  <dc:description/>
  <cp:lastModifiedBy>Sabrina BOESPFLUG</cp:lastModifiedBy>
  <cp:revision/>
  <cp:lastPrinted>2025-04-17T12:37:42Z</cp:lastPrinted>
  <dcterms:created xsi:type="dcterms:W3CDTF">2025-01-20T14:26:12Z</dcterms:created>
  <dcterms:modified xsi:type="dcterms:W3CDTF">2025-04-17T12:58:19Z</dcterms:modified>
  <cp:category/>
  <cp:contentStatus/>
</cp:coreProperties>
</file>