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REGION\AOREGIONAL_SYST CARDIOVASCULAIRE\2025 - RESSD - 2025PHIE0040\03 - DOCUMENTS DE MARCHE\"/>
    </mc:Choice>
  </mc:AlternateContent>
  <bookViews>
    <workbookView xWindow="0" yWindow="0" windowWidth="25200" windowHeight="11985" firstSheet="1" activeTab="1"/>
  </bookViews>
  <sheets>
    <sheet name="MACRO" sheetId="7" state="hidden" r:id="rId1"/>
    <sheet name="QUANTITES" sheetId="1" r:id="rId2"/>
    <sheet name="SPECIMENS-ECHANTILLONS" sheetId="6" r:id="rId3"/>
    <sheet name="LOTS" sheetId="4" r:id="rId4"/>
  </sheets>
  <definedNames>
    <definedName name="_xlnm._FilterDatabase" localSheetId="3" hidden="1">LOTS!$A$7:$E$7</definedName>
    <definedName name="_xlnm._FilterDatabase" localSheetId="1" hidden="1">QUANTITES!$A$9:$AO$19</definedName>
    <definedName name="_xlnm._FilterDatabase" localSheetId="2" hidden="1">'SPECIMENS-ECHANTILLONS'!$A$8:$G$18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4" l="1"/>
  <c r="E8" i="4" s="1"/>
  <c r="D9" i="4"/>
  <c r="E9" i="4" s="1"/>
  <c r="D10" i="4"/>
  <c r="E10" i="4" s="1"/>
  <c r="D11" i="4"/>
  <c r="E11" i="4" s="1"/>
  <c r="D12" i="4"/>
  <c r="E12" i="4" s="1"/>
  <c r="F15" i="6"/>
  <c r="F16" i="6"/>
  <c r="F17" i="6"/>
  <c r="F18" i="6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H20" i="1"/>
  <c r="G10" i="1"/>
  <c r="G11" i="1"/>
  <c r="G12" i="1"/>
  <c r="G13" i="1"/>
  <c r="G14" i="1"/>
  <c r="G15" i="1"/>
  <c r="G16" i="1"/>
  <c r="G17" i="1"/>
  <c r="G18" i="1"/>
  <c r="G19" i="1"/>
  <c r="G20" i="1" l="1"/>
  <c r="F20" i="1"/>
  <c r="G19" i="6" l="1"/>
  <c r="F10" i="6" l="1"/>
  <c r="F11" i="6"/>
  <c r="F12" i="6"/>
  <c r="F13" i="6"/>
  <c r="F14" i="6"/>
  <c r="F9" i="6"/>
  <c r="F19" i="6" l="1"/>
  <c r="D13" i="4" l="1"/>
  <c r="E13" i="4"/>
</calcChain>
</file>

<file path=xl/sharedStrings.xml><?xml version="1.0" encoding="utf-8"?>
<sst xmlns="http://schemas.openxmlformats.org/spreadsheetml/2006/main" count="163" uniqueCount="87">
  <si>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</si>
  <si>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</si>
  <si>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</si>
  <si>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</si>
  <si>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</si>
  <si>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</si>
  <si>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</si>
  <si>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</si>
  <si>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</si>
  <si>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</si>
  <si>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UNION HOSPITALIERE DE CORNOUAILLE (29)</t>
  </si>
  <si>
    <t>SUD BRETAGNE (56)</t>
  </si>
  <si>
    <t>HAUTE DE BRETAGNE (35)</t>
  </si>
  <si>
    <t xml:space="preserve"> C.H.U. DE RENNES</t>
  </si>
  <si>
    <t>C.H.I. DE REDON-CARENTOIR</t>
  </si>
  <si>
    <t xml:space="preserve"> C.H. DE FOUGERES </t>
  </si>
  <si>
    <t xml:space="preserve"> C.H. DE GRAND FOUGERAY </t>
  </si>
  <si>
    <t>ARMOR (22)</t>
  </si>
  <si>
    <t xml:space="preserve"> C.H. DE GUINGAMP </t>
  </si>
  <si>
    <t xml:space="preserve"> C.H. DU PENTHIEVRE ET DU POUDOUVRE (LAMBALLE) </t>
  </si>
  <si>
    <t xml:space="preserve"> C.H. DE TREGUIER</t>
  </si>
  <si>
    <t>BROCELIANDE ATLANTIQUE (56)</t>
  </si>
  <si>
    <t>CENTRE BRETAGNE (56)</t>
  </si>
  <si>
    <t>RANCE EMERAUDE (35)</t>
  </si>
  <si>
    <t>AUTRES ETABLISSEMENTS</t>
  </si>
  <si>
    <t xml:space="preserve"> E.H.P.A.D. DE MALESTROIT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</si>
  <si>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</si>
  <si>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</si>
  <si>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C.S.S.R. DE KORN
ER HOUET</t>
  </si>
  <si>
    <t xml:space="preserve"> C.H. DU CENTRE-BRETAGNE
(PONTIVY)</t>
  </si>
  <si>
    <t xml:space="preserve"> C.H. ALPHONSE GUERIN
(PLOERMEL)</t>
  </si>
  <si>
    <t xml:space="preserve"> C.H. BRETAGNE ATLANTIQUE
(VANNES)</t>
  </si>
  <si>
    <t xml:space="preserve"> C.H. PIERRE LE DAMANY
(LANNION-TRESTEL) </t>
  </si>
  <si>
    <t xml:space="preserve"> C.H. DES MARCHES
DE BRETAGNE
(ANTRAIN)</t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</si>
  <si>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</si>
  <si>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</si>
  <si>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PROTEGER TOUTES LES FEUILLES</t>
  </si>
  <si>
    <t>DE-PROTEGER TOUTES LES FEUILLES</t>
  </si>
  <si>
    <t>ALT + F11 (ouvrir les macros)</t>
  </si>
  <si>
    <t>Insertion &gt; Module</t>
  </si>
  <si>
    <t>Copier-coller :</t>
  </si>
  <si>
    <t>F5 (pour valider la macro)</t>
  </si>
  <si>
    <t>mot de passe : QUANTITES</t>
  </si>
  <si>
    <t>Sub OterProtection()
    Dim Sh As Worksheet
    For Each Sh In Sheets
        Sh.Unprotect "QUANTITES"
    Next Sh
End Sub</t>
  </si>
  <si>
    <t>SUPPRIMER CETTE FEUILLE ET PROTEGER LE CLASSEUR (mot de passe : QUANTITES)</t>
  </si>
  <si>
    <t>SPECIMENS/ECHANTILLONS PAR ETABLISSEMENTS</t>
  </si>
  <si>
    <t>TOTAL
SPECIMENS/ECHANTILLONS</t>
  </si>
  <si>
    <t xml:space="preserve"> C.H. DE LA PRESQU'ÎLE
DE CROZON</t>
  </si>
  <si>
    <t>C.H. DES PAYS
DE MORLAIX</t>
  </si>
  <si>
    <t xml:space="preserve"> C.S.S.R. DE KERAMPIR
(UGECAM 29) </t>
  </si>
  <si>
    <t>C.H. DE BEGARD (FONDATION
BON SAUVEUR)</t>
  </si>
  <si>
    <t xml:space="preserve"> C.H. DES PRES BOSGERS
(CANCALE)</t>
  </si>
  <si>
    <t xml:space="preserve"> C.H. RENE PLEVEN
(DINAN)</t>
  </si>
  <si>
    <t xml:space="preserve"> C.H. BROUSSAIS
(SAINT-MALO)</t>
  </si>
  <si>
    <t xml:space="preserve"> C.H.I. DE CORNOUAILLE
(QUIMPER-CONCARNEAU)</t>
  </si>
  <si>
    <t xml:space="preserve"> C.H. SIMONE VEIL
(VITRE)</t>
  </si>
  <si>
    <t xml:space="preserve"> C.H. DE BROCELIANDE
(MONTFORT SUR MEU)</t>
  </si>
  <si>
    <t>C.H. DU DOCTEUR
DE TERSANNES
(SAINT MEEN LE GRAND)</t>
  </si>
  <si>
    <t xml:space="preserve"> C.H. SAINT-JEAN
(LA GUERCHE
DE BRETAGNE)</t>
  </si>
  <si>
    <t xml:space="preserve"> C.H. LA ROCHE AUX FEES 
(JANZE)</t>
  </si>
  <si>
    <t xml:space="preserve"> C.H. YVES LE FOLL
(SAINT-BRIEUC)</t>
  </si>
  <si>
    <t xml:space="preserve"> C.H. MAX QUERRIEN
(PAIMPOL)</t>
  </si>
  <si>
    <t xml:space="preserve"> E.P.S.M. MORBIHAN
(SAINT-AVE)</t>
  </si>
  <si>
    <t>Sub Probtention()
    Dim Sh As Worksheet
    For Each Sh In Sheets
        Sh.Protect Password:="QUANTITES", AllowSorting:=True, AllowFiltering:=True, AllowFormattingCells:=True, AllowFormattingColumns:=True, AllowFormattingRows:=True
    Next Sh
End Sub</t>
  </si>
  <si>
    <t xml:space="preserve"> G.H. BRETAGNE SUD
(LORIENT-CAUDAN
-QUIMPERLE)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</si>
  <si>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</si>
  <si>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</si>
  <si>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</si>
  <si>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Marché public n°2025PHIE0040</t>
  </si>
  <si>
    <t>La numérotation des lots reprend celle des appels d'offre n°2021PHIE0099 (AOSOH 2022) + 2021PHIE0115 (AOSCV 2022) + 2022PHIE0128 (AODEM 2023).</t>
  </si>
  <si>
    <t>01 - DERMATOLOGIE</t>
  </si>
  <si>
    <t>ACIDE FUSIDIQUE</t>
  </si>
  <si>
    <t>CREME</t>
  </si>
  <si>
    <t>02 - HEMOSTASE ET COAGULATION</t>
  </si>
  <si>
    <t>ACIDE FOLIQUE</t>
  </si>
  <si>
    <t>FORME ORALE 05 MG</t>
  </si>
  <si>
    <t>03 - SYSTEME CARDIOVASCULAIRE</t>
  </si>
  <si>
    <t>DILTIAZEM</t>
  </si>
  <si>
    <t>FORME ORALE 60 MG</t>
  </si>
  <si>
    <t>RAMIPRIL</t>
  </si>
  <si>
    <t>FORME ORALE 01.25 MG</t>
  </si>
  <si>
    <t>FORME ORALE 02.50 MG</t>
  </si>
  <si>
    <t>FORME ORALE 10 MG</t>
  </si>
  <si>
    <t>TRINITRINE</t>
  </si>
  <si>
    <t>SYSTEME TRANSDERMIQUE 05 MG</t>
  </si>
  <si>
    <t>SYSTEME TRANSDERMIQUE 10 MG</t>
  </si>
  <si>
    <t>SYSTEME TRANSDERMIQUE 15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</si>
</sst>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6"/>
      <color theme="8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3" fontId="1" fillId="11" borderId="3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/>
    </xf>
    <xf numFmtId="3" fontId="1" fillId="12" borderId="3" xfId="0" applyNumberFormat="1" applyFont="1" applyFill="1" applyBorder="1" applyAlignment="1">
      <alignment horizontal="center" vertical="center" wrapText="1"/>
    </xf>
    <xf numFmtId="3" fontId="0" fillId="13" borderId="1" xfId="0" applyNumberForma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3" fontId="0" fillId="0" borderId="1" xfId="0" applyNumberFormat="1" applyFill="1" applyBorder="1" applyAlignment="1">
      <alignment horizontal="center" vertical="center" wrapText="1"/>
    </xf>
    <xf numFmtId="3" fontId="1" fillId="12" borderId="6" xfId="0" applyNumberFormat="1" applyFont="1" applyFill="1" applyBorder="1" applyAlignment="1">
      <alignment horizontal="center" vertical="center" wrapText="1"/>
    </xf>
    <xf numFmtId="3" fontId="0" fillId="13" borderId="7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3" fontId="10" fillId="4" borderId="2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3" fontId="1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13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0" fontId="14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59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9:AO19" totalsRowShown="0" headerRowDxfId="58" tableBorderDxfId="57">
  <autoFilter ref="A9:AO19"/>
  <tableColumns count="41">
    <tableColumn id="1" name="CLASSE" dataDxfId="56"/>
    <tableColumn id="2" name="LOT" dataDxfId="55"/>
    <tableColumn id="3" name="LIBELLE DU LOT" dataDxfId="54"/>
    <tableColumn id="4" name="SOUS-LOT" dataDxfId="53"/>
    <tableColumn id="5" name="LIBELLE DU SOUS-LOT" dataDxfId="52"/>
    <tableColumn id="6" name="QUANTITE TOTALE_x000a_ESTIMATIVE" dataDxfId="51"/>
    <tableColumn id="7" name="QUANTITE TOTALE_x000a_MAXIMALE_x000a_(coefficient 4)" dataDxfId="50">
      <calculatedColumnFormula>F10*4</calculatedColumnFormula>
    </tableColumn>
    <tableColumn id="8" name="C.H.U. DE BREST" dataDxfId="49"/>
    <tableColumn id="9" name="C.H. DES PAYS_x000a_DE MORLAIX" dataDxfId="48"/>
    <tableColumn id="10" name="C.H. FERDINAND GRALL_x000a_(LANDERNEAU)" dataDxfId="47"/>
    <tableColumn id="12" name=" C.H. DE LANMEUR" dataDxfId="46"/>
    <tableColumn id="13" name=" C.H. DE LA PRESQU'ÎLE_x000a_DE CROZON" dataDxfId="45"/>
    <tableColumn id="14" name=" C.H.I. DE CORNOUAILLE_x000a_(QUIMPER-CONCARNEAU)" dataDxfId="44"/>
    <tableColumn id="19" name=" G.H. BRETAGNE SUD_x000a_(LORIENT-CAUDAN_x000a_-QUIMPERLE)" dataDxfId="43"/>
    <tableColumn id="21" name=" C.H.U. DE RENNES" dataDxfId="42"/>
    <tableColumn id="22" name="C.H.I. DE REDON-CARENTOIR" dataDxfId="41"/>
    <tableColumn id="23" name=" C.H. SIMONE VEIL_x000a_(VITRE)" dataDxfId="40"/>
    <tableColumn id="24" name=" C.H. DE BROCELIANDE_x000a_(MONTFORT SUR MEU)" dataDxfId="39"/>
    <tableColumn id="25" name="C.H. DU DOCTEUR_x000a_DE TERSANNES_x000a_(SAINT MEEN LE GRAND)" dataDxfId="38"/>
    <tableColumn id="26" name=" C.H. SAINT-JEAN_x000a_(LA GUERCHE_x000a_DE BRETAGNE)" dataDxfId="37"/>
    <tableColumn id="27" name=" C.H. LA ROCHE AUX FEES _x000a_(JANZE)" dataDxfId="36"/>
    <tableColumn id="28" name=" C.H. DES MARCHES_x000a_DE BRETAGNE_x000a_(ANTRAIN)" dataDxfId="35"/>
    <tableColumn id="29" name=" C.H. DE FOUGERES " dataDxfId="34"/>
    <tableColumn id="30" name=" C.H. DE GRAND FOUGERAY " dataDxfId="33"/>
    <tableColumn id="32" name=" C.H. YVES LE FOLL_x000a_(SAINT-BRIEUC)" dataDxfId="32"/>
    <tableColumn id="33" name=" C.H. MAX QUERRIEN_x000a_(PAIMPOL)" dataDxfId="31"/>
    <tableColumn id="34" name=" C.H. DE TREGUIER" dataDxfId="30"/>
    <tableColumn id="35" name=" C.H. DE GUINGAMP " dataDxfId="29"/>
    <tableColumn id="36" name=" C.H. DU PENTHIEVRE ET DU POUDOUVRE (LAMBALLE) " dataDxfId="28"/>
    <tableColumn id="37" name=" C.H. PIERRE LE DAMANY_x000a_(LANNION-TRESTEL) " dataDxfId="27"/>
    <tableColumn id="38" name=" C.H. BRETAGNE ATLANTIQUE_x000a_(VANNES)" dataDxfId="26"/>
    <tableColumn id="40" name=" C.H. ALPHONSE GUERIN_x000a_(PLOERMEL)" dataDxfId="25"/>
    <tableColumn id="41" name=" E.H.P.A.D. DE MALESTROIT" dataDxfId="24"/>
    <tableColumn id="43" name=" E.P.S.M. MORBIHAN_x000a_(SAINT-AVE)" dataDxfId="23"/>
    <tableColumn id="44" name=" C.H. DU CENTRE-BRETAGNE_x000a_(PONTIVY)" dataDxfId="22"/>
    <tableColumn id="47" name=" C.H. BROUSSAIS_x000a_(SAINT-MALO)" dataDxfId="21"/>
    <tableColumn id="48" name=" C.H. RENE PLEVEN_x000a_(DINAN)" dataDxfId="20"/>
    <tableColumn id="49" name=" C.H. DES PRES BOSGERS_x000a_(CANCALE)" dataDxfId="19"/>
    <tableColumn id="50" name="C.H. DE BEGARD (FONDATION_x000a_BON SAUVEUR)" dataDxfId="18"/>
    <tableColumn id="51" name="C.S.S.R. DE KORN_x000a_ER HOUET" dataDxfId="17"/>
    <tableColumn id="52" name=" C.S.S.R. DE KERAMPIR_x000a_(UGECAM 29) 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18" totalsRowShown="0" headerRowDxfId="15" tableBorderDxfId="14">
  <autoFilter ref="A8:G18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2" totalsRowShown="0" headerRowDxfId="6" tableBorderDxfId="5">
  <autoFilter ref="A7:E12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0000"/>
  </sheetPr>
  <dimension ref="A1:C14"/>
  <sheetViews>
    <sheetView showGridLines="0" workbookViewId="0">
      <selection activeCell="F9" sqref="F9"/>
    </sheetView>
  </sheetViews>
  <sheetFormatPr baseColWidth="10" defaultRowHeight="15" x14ac:dyDescent="0.25"/>
  <cols>
    <col min="1" max="1" width="31" customWidth="1"/>
    <col min="3" max="3" width="32.5703125" bestFit="1" customWidth="1"/>
  </cols>
  <sheetData>
    <row r="1" spans="1:3" s="32" customFormat="1" x14ac:dyDescent="0.25">
      <c r="A1" s="31" t="s">
        <v>36</v>
      </c>
      <c r="C1" s="31" t="s">
        <v>37</v>
      </c>
    </row>
    <row r="2" spans="1:3" s="32" customFormat="1" x14ac:dyDescent="0.25">
      <c r="A2" s="33" t="s">
        <v>42</v>
      </c>
      <c r="C2" s="33" t="s">
        <v>42</v>
      </c>
    </row>
    <row r="3" spans="1:3" x14ac:dyDescent="0.25">
      <c r="A3" s="34"/>
    </row>
    <row r="4" spans="1:3" x14ac:dyDescent="0.25">
      <c r="A4" t="s">
        <v>38</v>
      </c>
      <c r="C4" t="s">
        <v>38</v>
      </c>
    </row>
    <row r="6" spans="1:3" x14ac:dyDescent="0.25">
      <c r="A6" t="s">
        <v>39</v>
      </c>
      <c r="C6" t="s">
        <v>39</v>
      </c>
    </row>
    <row r="8" spans="1:3" x14ac:dyDescent="0.25">
      <c r="A8" t="s">
        <v>40</v>
      </c>
      <c r="C8" t="s">
        <v>40</v>
      </c>
    </row>
    <row r="9" spans="1:3" ht="180" x14ac:dyDescent="0.25">
      <c r="A9" s="35" t="s">
        <v>63</v>
      </c>
      <c r="C9" s="36" t="s">
        <v>43</v>
      </c>
    </row>
    <row r="11" spans="1:3" x14ac:dyDescent="0.25">
      <c r="A11" t="s">
        <v>41</v>
      </c>
      <c r="C11" t="s">
        <v>41</v>
      </c>
    </row>
    <row r="14" spans="1:3" x14ac:dyDescent="0.25">
      <c r="A14" s="60" t="s">
        <v>44</v>
      </c>
      <c r="B14" s="60"/>
      <c r="C14" s="60"/>
    </row>
  </sheetData>
  <sheetProtection algorithmName="SHA-512" hashValue="4BexWuKYWYYVvg+JFIersEpYA3YMNHxcogJYxsDgTT0p8p3hlCZfS/FVwEWWwpeP43tpKw/wLIQe05I/MoO+ug==" saltValue="2jw56LIUzLD64KD4A1V4KA==" spinCount="100000" sheet="1" objects="1" scenarios="1" formatCells="0" formatColumns="0" formatRows="0" sort="0" autoFilter="0"/>
  <mergeCells count="1"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O20"/>
  <sheetViews>
    <sheetView showGridLines="0" tabSelected="1" zoomScale="85" zoomScaleNormal="85" workbookViewId="0">
      <pane xSplit="7" ySplit="9" topLeftCell="H10" activePane="bottomRight" state="frozen"/>
      <selection pane="topRight" activeCell="H1" sqref="H1"/>
      <selection pane="bottomLeft" activeCell="A9" sqref="A9"/>
      <selection pane="bottomRight" activeCell="C13" sqref="C13"/>
    </sheetView>
  </sheetViews>
  <sheetFormatPr baseColWidth="10" defaultRowHeight="15" outlineLevelCol="1" x14ac:dyDescent="0.25"/>
  <cols>
    <col min="1" max="1" width="32.140625" style="48" bestFit="1" customWidth="1" outlineLevel="1"/>
    <col min="2" max="2" width="9.7109375" style="1" bestFit="1" customWidth="1"/>
    <col min="3" max="3" width="48.42578125" style="48" customWidth="1"/>
    <col min="4" max="4" width="15.140625" style="1" bestFit="1" customWidth="1"/>
    <col min="5" max="5" width="29" style="48" bestFit="1" customWidth="1"/>
    <col min="6" max="7" width="22.28515625" style="5" bestFit="1" customWidth="1"/>
    <col min="8" max="41" width="28.7109375" style="5" customWidth="1"/>
    <col min="42" max="16384" width="11.42578125" style="1"/>
  </cols>
  <sheetData>
    <row r="1" spans="1:41" ht="26.25" x14ac:dyDescent="0.25">
      <c r="A1" s="62" t="s">
        <v>66</v>
      </c>
      <c r="B1" s="62"/>
      <c r="C1" s="62"/>
      <c r="D1" s="62"/>
      <c r="E1" s="62"/>
      <c r="F1" s="62"/>
      <c r="G1" s="62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</row>
    <row r="2" spans="1:41" ht="23.25" x14ac:dyDescent="0.25">
      <c r="A2" s="63" t="s">
        <v>26</v>
      </c>
      <c r="B2" s="63"/>
      <c r="C2" s="63"/>
      <c r="D2" s="63"/>
      <c r="E2" s="63"/>
      <c r="F2" s="63"/>
      <c r="G2" s="63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</row>
    <row r="3" spans="1:41" ht="23.25" x14ac:dyDescent="0.25">
      <c r="A3" s="68" t="s">
        <v>68</v>
      </c>
      <c r="B3" s="68"/>
      <c r="C3" s="68"/>
      <c r="D3" s="68"/>
      <c r="E3" s="68"/>
      <c r="F3" s="68"/>
      <c r="G3" s="68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</row>
    <row r="5" spans="1:41" s="22" customFormat="1" ht="15.75" x14ac:dyDescent="0.25">
      <c r="A5" s="64" t="s">
        <v>65</v>
      </c>
      <c r="B5" s="64"/>
      <c r="C5" s="64"/>
      <c r="D5" s="64"/>
      <c r="E5" s="64"/>
      <c r="F5" s="64"/>
      <c r="G5" s="64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</row>
    <row r="6" spans="1:41" s="22" customFormat="1" ht="15.75" x14ac:dyDescent="0.25">
      <c r="A6" s="70" t="s">
        <v>69</v>
      </c>
      <c r="B6" s="70"/>
      <c r="C6" s="70"/>
      <c r="D6" s="70"/>
      <c r="E6" s="70"/>
      <c r="F6" s="70"/>
      <c r="G6" s="7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8" spans="1:41" s="30" customFormat="1" ht="63" x14ac:dyDescent="0.35">
      <c r="A8" s="69" t="s">
        <v>7</v>
      </c>
      <c r="B8" s="69"/>
      <c r="C8" s="69"/>
      <c r="D8" s="69"/>
      <c r="E8" s="69"/>
      <c r="F8" s="69"/>
      <c r="G8" s="69"/>
      <c r="H8" s="66" t="s">
        <v>6</v>
      </c>
      <c r="I8" s="66"/>
      <c r="J8" s="66"/>
      <c r="K8" s="66"/>
      <c r="L8" s="66"/>
      <c r="M8" s="58" t="s">
        <v>10</v>
      </c>
      <c r="N8" s="59" t="s">
        <v>11</v>
      </c>
      <c r="O8" s="65" t="s">
        <v>12</v>
      </c>
      <c r="P8" s="65"/>
      <c r="Q8" s="65"/>
      <c r="R8" s="65"/>
      <c r="S8" s="65"/>
      <c r="T8" s="65"/>
      <c r="U8" s="65"/>
      <c r="V8" s="65"/>
      <c r="W8" s="65"/>
      <c r="X8" s="65"/>
      <c r="Y8" s="66" t="s">
        <v>17</v>
      </c>
      <c r="Z8" s="66"/>
      <c r="AA8" s="66"/>
      <c r="AB8" s="66"/>
      <c r="AC8" s="66"/>
      <c r="AD8" s="66"/>
      <c r="AE8" s="67" t="s">
        <v>21</v>
      </c>
      <c r="AF8" s="67"/>
      <c r="AG8" s="67"/>
      <c r="AH8" s="67"/>
      <c r="AI8" s="59" t="s">
        <v>22</v>
      </c>
      <c r="AJ8" s="65" t="s">
        <v>23</v>
      </c>
      <c r="AK8" s="65"/>
      <c r="AL8" s="65"/>
      <c r="AM8" s="61" t="s">
        <v>24</v>
      </c>
      <c r="AN8" s="61"/>
      <c r="AO8" s="61"/>
    </row>
    <row r="9" spans="1:41" s="4" customFormat="1" ht="45" x14ac:dyDescent="0.25">
      <c r="A9" s="49" t="s">
        <v>5</v>
      </c>
      <c r="B9" s="29" t="s">
        <v>0</v>
      </c>
      <c r="C9" s="28" t="s">
        <v>1</v>
      </c>
      <c r="D9" s="29" t="s">
        <v>2</v>
      </c>
      <c r="E9" s="28" t="s">
        <v>3</v>
      </c>
      <c r="F9" s="27" t="s">
        <v>4</v>
      </c>
      <c r="G9" s="27" t="s">
        <v>27</v>
      </c>
      <c r="H9" s="9" t="s">
        <v>8</v>
      </c>
      <c r="I9" s="9" t="s">
        <v>48</v>
      </c>
      <c r="J9" s="9" t="s">
        <v>34</v>
      </c>
      <c r="K9" s="9" t="s">
        <v>9</v>
      </c>
      <c r="L9" s="9" t="s">
        <v>47</v>
      </c>
      <c r="M9" s="10" t="s">
        <v>54</v>
      </c>
      <c r="N9" s="11" t="s">
        <v>64</v>
      </c>
      <c r="O9" s="13" t="s">
        <v>13</v>
      </c>
      <c r="P9" s="13" t="s">
        <v>14</v>
      </c>
      <c r="Q9" s="13" t="s">
        <v>55</v>
      </c>
      <c r="R9" s="13" t="s">
        <v>56</v>
      </c>
      <c r="S9" s="13" t="s">
        <v>57</v>
      </c>
      <c r="T9" s="13" t="s">
        <v>58</v>
      </c>
      <c r="U9" s="13" t="s">
        <v>59</v>
      </c>
      <c r="V9" s="13" t="s">
        <v>33</v>
      </c>
      <c r="W9" s="13" t="s">
        <v>15</v>
      </c>
      <c r="X9" s="13" t="s">
        <v>16</v>
      </c>
      <c r="Y9" s="9" t="s">
        <v>60</v>
      </c>
      <c r="Z9" s="9" t="s">
        <v>61</v>
      </c>
      <c r="AA9" s="9" t="s">
        <v>20</v>
      </c>
      <c r="AB9" s="9" t="s">
        <v>18</v>
      </c>
      <c r="AC9" s="9" t="s">
        <v>19</v>
      </c>
      <c r="AD9" s="9" t="s">
        <v>32</v>
      </c>
      <c r="AE9" s="10" t="s">
        <v>31</v>
      </c>
      <c r="AF9" s="10" t="s">
        <v>30</v>
      </c>
      <c r="AG9" s="10" t="s">
        <v>25</v>
      </c>
      <c r="AH9" s="10" t="s">
        <v>62</v>
      </c>
      <c r="AI9" s="11" t="s">
        <v>29</v>
      </c>
      <c r="AJ9" s="13" t="s">
        <v>53</v>
      </c>
      <c r="AK9" s="13" t="s">
        <v>52</v>
      </c>
      <c r="AL9" s="13" t="s">
        <v>51</v>
      </c>
      <c r="AM9" s="15" t="s">
        <v>50</v>
      </c>
      <c r="AN9" s="15" t="s">
        <v>28</v>
      </c>
      <c r="AO9" s="38" t="s">
        <v>49</v>
      </c>
    </row>
    <row r="10" spans="1:41" x14ac:dyDescent="0.25">
      <c r="A10" s="50" t="s">
        <v>70</v>
      </c>
      <c r="B10" s="3">
        <v>25</v>
      </c>
      <c r="C10" s="47" t="s">
        <v>71</v>
      </c>
      <c r="D10" s="2">
        <v>1</v>
      </c>
      <c r="E10" s="2" t="s">
        <v>72</v>
      </c>
      <c r="F10" s="8">
        <v>2657</v>
      </c>
      <c r="G10" s="37">
        <f>F10*4</f>
        <v>10628</v>
      </c>
      <c r="H10" s="7">
        <v>460</v>
      </c>
      <c r="I10" s="7">
        <v>180</v>
      </c>
      <c r="J10" s="7">
        <v>20</v>
      </c>
      <c r="K10" s="7">
        <v>25</v>
      </c>
      <c r="L10" s="7">
        <v>20</v>
      </c>
      <c r="M10" s="6">
        <v>196</v>
      </c>
      <c r="N10" s="12">
        <v>300</v>
      </c>
      <c r="O10" s="14">
        <v>250</v>
      </c>
      <c r="P10" s="14">
        <v>15</v>
      </c>
      <c r="Q10" s="14">
        <v>20</v>
      </c>
      <c r="R10" s="14">
        <v>30</v>
      </c>
      <c r="S10" s="14">
        <v>0</v>
      </c>
      <c r="T10" s="14">
        <v>30</v>
      </c>
      <c r="U10" s="14">
        <v>20</v>
      </c>
      <c r="V10" s="14">
        <v>9</v>
      </c>
      <c r="W10" s="14">
        <v>40</v>
      </c>
      <c r="X10" s="14">
        <v>5</v>
      </c>
      <c r="Y10" s="7">
        <v>290</v>
      </c>
      <c r="Z10" s="7">
        <v>0</v>
      </c>
      <c r="AA10" s="7">
        <v>55</v>
      </c>
      <c r="AB10" s="7">
        <v>20</v>
      </c>
      <c r="AC10" s="7">
        <v>80</v>
      </c>
      <c r="AD10" s="7">
        <v>100</v>
      </c>
      <c r="AE10" s="6">
        <v>150</v>
      </c>
      <c r="AF10" s="6">
        <v>60</v>
      </c>
      <c r="AG10" s="6">
        <v>10</v>
      </c>
      <c r="AH10" s="6">
        <v>1</v>
      </c>
      <c r="AI10" s="12">
        <v>51</v>
      </c>
      <c r="AJ10" s="14">
        <v>153</v>
      </c>
      <c r="AK10" s="14">
        <v>65</v>
      </c>
      <c r="AL10" s="14">
        <v>0</v>
      </c>
      <c r="AM10" s="16">
        <v>0</v>
      </c>
      <c r="AN10" s="16">
        <v>0</v>
      </c>
      <c r="AO10" s="39">
        <v>2</v>
      </c>
    </row>
    <row r="11" spans="1:41" x14ac:dyDescent="0.25">
      <c r="A11" s="50" t="s">
        <v>73</v>
      </c>
      <c r="B11" s="3">
        <v>49</v>
      </c>
      <c r="C11" s="2" t="s">
        <v>74</v>
      </c>
      <c r="D11" s="2">
        <v>1</v>
      </c>
      <c r="E11" s="2" t="s">
        <v>75</v>
      </c>
      <c r="F11" s="8">
        <v>867492</v>
      </c>
      <c r="G11" s="37">
        <f t="shared" ref="G11:G14" si="0">F11*4</f>
        <v>3469968</v>
      </c>
      <c r="H11" s="7">
        <v>80000</v>
      </c>
      <c r="I11" s="7">
        <v>41000</v>
      </c>
      <c r="J11" s="7">
        <v>13917</v>
      </c>
      <c r="K11" s="7">
        <v>14000</v>
      </c>
      <c r="L11" s="7">
        <v>8293</v>
      </c>
      <c r="M11" s="6">
        <v>72595</v>
      </c>
      <c r="N11" s="12">
        <v>100000</v>
      </c>
      <c r="O11" s="14">
        <v>40000</v>
      </c>
      <c r="P11" s="14">
        <v>21130</v>
      </c>
      <c r="Q11" s="14">
        <v>10000</v>
      </c>
      <c r="R11" s="14">
        <v>37480</v>
      </c>
      <c r="S11" s="14">
        <v>28000</v>
      </c>
      <c r="T11" s="14">
        <v>10000</v>
      </c>
      <c r="U11" s="14">
        <v>0</v>
      </c>
      <c r="V11" s="14">
        <v>12700</v>
      </c>
      <c r="W11" s="14">
        <v>16500</v>
      </c>
      <c r="X11" s="14">
        <v>4912</v>
      </c>
      <c r="Y11" s="7">
        <v>58000</v>
      </c>
      <c r="Z11" s="7">
        <v>37000</v>
      </c>
      <c r="AA11" s="7">
        <v>32000</v>
      </c>
      <c r="AB11" s="7">
        <v>20000</v>
      </c>
      <c r="AC11" s="7">
        <v>2800</v>
      </c>
      <c r="AD11" s="7">
        <v>25000</v>
      </c>
      <c r="AE11" s="6">
        <v>4300</v>
      </c>
      <c r="AF11" s="6">
        <v>16844</v>
      </c>
      <c r="AG11" s="6">
        <v>2280</v>
      </c>
      <c r="AH11" s="6">
        <v>10000</v>
      </c>
      <c r="AI11" s="12">
        <v>33546</v>
      </c>
      <c r="AJ11" s="14">
        <v>39573</v>
      </c>
      <c r="AK11" s="14">
        <v>34722</v>
      </c>
      <c r="AL11" s="14">
        <v>15000</v>
      </c>
      <c r="AM11" s="16">
        <v>18500</v>
      </c>
      <c r="AN11" s="16">
        <v>4500</v>
      </c>
      <c r="AO11" s="39">
        <v>2900</v>
      </c>
    </row>
    <row r="12" spans="1:41" x14ac:dyDescent="0.25">
      <c r="A12" s="50" t="s">
        <v>76</v>
      </c>
      <c r="B12" s="3">
        <v>50</v>
      </c>
      <c r="C12" s="2" t="s">
        <v>77</v>
      </c>
      <c r="D12" s="2">
        <v>1</v>
      </c>
      <c r="E12" s="2" t="s">
        <v>78</v>
      </c>
      <c r="F12" s="8">
        <v>30798</v>
      </c>
      <c r="G12" s="37">
        <f t="shared" si="0"/>
        <v>123192</v>
      </c>
      <c r="H12" s="7">
        <v>4500</v>
      </c>
      <c r="I12" s="7">
        <v>800</v>
      </c>
      <c r="J12" s="7">
        <v>723</v>
      </c>
      <c r="K12" s="7">
        <v>200</v>
      </c>
      <c r="L12" s="7">
        <v>4011</v>
      </c>
      <c r="M12" s="6">
        <v>8102</v>
      </c>
      <c r="N12" s="12">
        <v>3600</v>
      </c>
      <c r="O12" s="14">
        <v>1500</v>
      </c>
      <c r="P12" s="14">
        <v>400</v>
      </c>
      <c r="Q12" s="14">
        <v>200</v>
      </c>
      <c r="R12" s="14">
        <v>100</v>
      </c>
      <c r="S12" s="14">
        <v>100</v>
      </c>
      <c r="T12" s="14">
        <v>10</v>
      </c>
      <c r="U12" s="14">
        <v>0</v>
      </c>
      <c r="V12" s="14">
        <v>100</v>
      </c>
      <c r="W12" s="14">
        <v>600</v>
      </c>
      <c r="X12" s="14">
        <v>219</v>
      </c>
      <c r="Y12" s="7">
        <v>350</v>
      </c>
      <c r="Z12" s="7">
        <v>50</v>
      </c>
      <c r="AA12" s="7">
        <v>30</v>
      </c>
      <c r="AB12" s="7">
        <v>50</v>
      </c>
      <c r="AC12" s="7">
        <v>1700</v>
      </c>
      <c r="AD12" s="7">
        <v>450</v>
      </c>
      <c r="AE12" s="6">
        <v>1200</v>
      </c>
      <c r="AF12" s="6">
        <v>1</v>
      </c>
      <c r="AG12" s="6">
        <v>0</v>
      </c>
      <c r="AH12" s="6">
        <v>30</v>
      </c>
      <c r="AI12" s="12">
        <v>911</v>
      </c>
      <c r="AJ12" s="14">
        <v>273</v>
      </c>
      <c r="AK12" s="14">
        <v>378</v>
      </c>
      <c r="AL12" s="14">
        <v>0</v>
      </c>
      <c r="AM12" s="16">
        <v>0</v>
      </c>
      <c r="AN12" s="16">
        <v>200</v>
      </c>
      <c r="AO12" s="39">
        <v>10</v>
      </c>
    </row>
    <row r="13" spans="1:41" x14ac:dyDescent="0.25">
      <c r="A13" s="50" t="s">
        <v>76</v>
      </c>
      <c r="B13" s="3">
        <v>113</v>
      </c>
      <c r="C13" s="2" t="s">
        <v>79</v>
      </c>
      <c r="D13" s="2">
        <v>1</v>
      </c>
      <c r="E13" s="2" t="s">
        <v>80</v>
      </c>
      <c r="F13" s="8">
        <v>197632</v>
      </c>
      <c r="G13" s="37">
        <f t="shared" si="0"/>
        <v>790528</v>
      </c>
      <c r="H13" s="7">
        <v>15000</v>
      </c>
      <c r="I13" s="7">
        <v>3000</v>
      </c>
      <c r="J13" s="7">
        <v>19191</v>
      </c>
      <c r="K13" s="7">
        <v>1200</v>
      </c>
      <c r="L13" s="7">
        <v>10716</v>
      </c>
      <c r="M13" s="6">
        <v>26930</v>
      </c>
      <c r="N13" s="12">
        <v>12000</v>
      </c>
      <c r="O13" s="14">
        <v>12000</v>
      </c>
      <c r="P13" s="14">
        <v>3100</v>
      </c>
      <c r="Q13" s="14">
        <v>1200</v>
      </c>
      <c r="R13" s="14">
        <v>12000</v>
      </c>
      <c r="S13" s="14">
        <v>12000</v>
      </c>
      <c r="T13" s="14">
        <v>1500</v>
      </c>
      <c r="U13" s="14">
        <v>1500</v>
      </c>
      <c r="V13" s="14">
        <v>3500</v>
      </c>
      <c r="W13" s="14">
        <v>2200</v>
      </c>
      <c r="X13" s="14">
        <v>176</v>
      </c>
      <c r="Y13" s="7">
        <v>8700</v>
      </c>
      <c r="Z13" s="7">
        <v>3500</v>
      </c>
      <c r="AA13" s="7">
        <v>7000</v>
      </c>
      <c r="AB13" s="7">
        <v>4900</v>
      </c>
      <c r="AC13" s="7">
        <v>6600</v>
      </c>
      <c r="AD13" s="7">
        <v>1700</v>
      </c>
      <c r="AE13" s="6">
        <v>7000</v>
      </c>
      <c r="AF13" s="6">
        <v>4500</v>
      </c>
      <c r="AG13" s="6">
        <v>0</v>
      </c>
      <c r="AH13" s="6">
        <v>0</v>
      </c>
      <c r="AI13" s="12">
        <v>1702</v>
      </c>
      <c r="AJ13" s="14">
        <v>7872</v>
      </c>
      <c r="AK13" s="14">
        <v>5195</v>
      </c>
      <c r="AL13" s="14">
        <v>900</v>
      </c>
      <c r="AM13" s="16">
        <v>200</v>
      </c>
      <c r="AN13" s="16">
        <v>250</v>
      </c>
      <c r="AO13" s="39">
        <v>400</v>
      </c>
    </row>
    <row r="14" spans="1:41" x14ac:dyDescent="0.25">
      <c r="A14" s="50" t="s">
        <v>76</v>
      </c>
      <c r="B14" s="3">
        <v>113</v>
      </c>
      <c r="C14" s="2" t="s">
        <v>79</v>
      </c>
      <c r="D14" s="2">
        <v>2</v>
      </c>
      <c r="E14" s="2" t="s">
        <v>81</v>
      </c>
      <c r="F14" s="8">
        <v>216291</v>
      </c>
      <c r="G14" s="37">
        <f t="shared" si="0"/>
        <v>865164</v>
      </c>
      <c r="H14" s="7">
        <v>20000</v>
      </c>
      <c r="I14" s="7">
        <v>9000</v>
      </c>
      <c r="J14" s="7">
        <v>12528</v>
      </c>
      <c r="K14" s="7">
        <v>4500</v>
      </c>
      <c r="L14" s="7">
        <v>8766</v>
      </c>
      <c r="M14" s="6">
        <v>1500</v>
      </c>
      <c r="N14" s="12">
        <v>19000</v>
      </c>
      <c r="O14" s="14">
        <v>18000</v>
      </c>
      <c r="P14" s="14">
        <v>3900</v>
      </c>
      <c r="Q14" s="14">
        <v>1000</v>
      </c>
      <c r="R14" s="14">
        <v>13000</v>
      </c>
      <c r="S14" s="14">
        <v>13000</v>
      </c>
      <c r="T14" s="14">
        <v>2000</v>
      </c>
      <c r="U14" s="14">
        <v>800</v>
      </c>
      <c r="V14" s="14">
        <v>6000</v>
      </c>
      <c r="W14" s="14">
        <v>4320</v>
      </c>
      <c r="X14" s="14">
        <v>1509</v>
      </c>
      <c r="Y14" s="7">
        <v>8800</v>
      </c>
      <c r="Z14" s="7">
        <v>5300</v>
      </c>
      <c r="AA14" s="7">
        <v>5600</v>
      </c>
      <c r="AB14" s="7">
        <v>4400</v>
      </c>
      <c r="AC14" s="7">
        <v>7000</v>
      </c>
      <c r="AD14" s="7">
        <v>6000</v>
      </c>
      <c r="AE14" s="6">
        <v>13000</v>
      </c>
      <c r="AF14" s="6">
        <v>3500</v>
      </c>
      <c r="AG14" s="6">
        <v>0</v>
      </c>
      <c r="AH14" s="6">
        <v>4500</v>
      </c>
      <c r="AI14" s="12">
        <v>2138</v>
      </c>
      <c r="AJ14" s="14">
        <v>7337</v>
      </c>
      <c r="AK14" s="14">
        <v>5243</v>
      </c>
      <c r="AL14" s="14">
        <v>1300</v>
      </c>
      <c r="AM14" s="16">
        <v>2300</v>
      </c>
      <c r="AN14" s="16">
        <v>250</v>
      </c>
      <c r="AO14" s="39">
        <v>800</v>
      </c>
    </row>
    <row r="15" spans="1:41" x14ac:dyDescent="0.25">
      <c r="A15" s="55" t="s">
        <v>76</v>
      </c>
      <c r="B15" s="56">
        <v>113</v>
      </c>
      <c r="C15" s="2" t="s">
        <v>79</v>
      </c>
      <c r="D15" s="2">
        <v>3</v>
      </c>
      <c r="E15" s="2" t="s">
        <v>75</v>
      </c>
      <c r="F15" s="8">
        <v>251714</v>
      </c>
      <c r="G15" s="37">
        <f t="shared" ref="G15:G19" si="1">F15*4</f>
        <v>1006856</v>
      </c>
      <c r="H15" s="7">
        <v>23300</v>
      </c>
      <c r="I15" s="7">
        <v>10000</v>
      </c>
      <c r="J15" s="7">
        <v>7788</v>
      </c>
      <c r="K15" s="7">
        <v>4000</v>
      </c>
      <c r="L15" s="7">
        <v>1824</v>
      </c>
      <c r="M15" s="6">
        <v>15040</v>
      </c>
      <c r="N15" s="12">
        <v>23000</v>
      </c>
      <c r="O15" s="14">
        <v>23000</v>
      </c>
      <c r="P15" s="14">
        <v>4100</v>
      </c>
      <c r="Q15" s="14">
        <v>900</v>
      </c>
      <c r="R15" s="14">
        <v>17000</v>
      </c>
      <c r="S15" s="14">
        <v>17000</v>
      </c>
      <c r="T15" s="14">
        <v>3000</v>
      </c>
      <c r="U15" s="14">
        <v>1300</v>
      </c>
      <c r="V15" s="14">
        <v>5000</v>
      </c>
      <c r="W15" s="14">
        <v>5300</v>
      </c>
      <c r="X15" s="14">
        <v>192</v>
      </c>
      <c r="Y15" s="7">
        <v>14900</v>
      </c>
      <c r="Z15" s="7">
        <v>4800</v>
      </c>
      <c r="AA15" s="7">
        <v>5300</v>
      </c>
      <c r="AB15" s="7">
        <v>7100</v>
      </c>
      <c r="AC15" s="7">
        <v>4700</v>
      </c>
      <c r="AD15" s="7">
        <v>9000</v>
      </c>
      <c r="AE15" s="6">
        <v>15000</v>
      </c>
      <c r="AF15" s="6">
        <v>2400</v>
      </c>
      <c r="AG15" s="6">
        <v>0</v>
      </c>
      <c r="AH15" s="6">
        <v>4000</v>
      </c>
      <c r="AI15" s="12">
        <v>2884</v>
      </c>
      <c r="AJ15" s="14">
        <v>9768</v>
      </c>
      <c r="AK15" s="14">
        <v>6138</v>
      </c>
      <c r="AL15" s="14">
        <v>580</v>
      </c>
      <c r="AM15" s="16">
        <v>2400</v>
      </c>
      <c r="AN15" s="16">
        <v>300</v>
      </c>
      <c r="AO15" s="39">
        <v>700</v>
      </c>
    </row>
    <row r="16" spans="1:41" x14ac:dyDescent="0.25">
      <c r="A16" s="55" t="s">
        <v>76</v>
      </c>
      <c r="B16" s="56">
        <v>113</v>
      </c>
      <c r="C16" s="2" t="s">
        <v>79</v>
      </c>
      <c r="D16" s="2">
        <v>4</v>
      </c>
      <c r="E16" s="2" t="s">
        <v>82</v>
      </c>
      <c r="F16" s="8">
        <v>27989</v>
      </c>
      <c r="G16" s="37">
        <f t="shared" si="1"/>
        <v>111956</v>
      </c>
      <c r="H16" s="7">
        <v>5500</v>
      </c>
      <c r="I16" s="7">
        <v>0</v>
      </c>
      <c r="J16" s="7">
        <v>4800</v>
      </c>
      <c r="K16" s="7">
        <v>0</v>
      </c>
      <c r="L16" s="7">
        <v>1554</v>
      </c>
      <c r="M16" s="6">
        <v>420</v>
      </c>
      <c r="N16" s="12">
        <v>5000</v>
      </c>
      <c r="O16" s="14">
        <v>0</v>
      </c>
      <c r="P16" s="14">
        <v>60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600</v>
      </c>
      <c r="W16" s="14">
        <v>0</v>
      </c>
      <c r="X16" s="14">
        <v>0</v>
      </c>
      <c r="Y16" s="7">
        <v>0</v>
      </c>
      <c r="Z16" s="7">
        <v>1200</v>
      </c>
      <c r="AA16" s="7">
        <v>0</v>
      </c>
      <c r="AB16" s="7">
        <v>2200</v>
      </c>
      <c r="AC16" s="7">
        <v>3500</v>
      </c>
      <c r="AD16" s="7">
        <v>0</v>
      </c>
      <c r="AE16" s="6">
        <v>0</v>
      </c>
      <c r="AF16" s="6">
        <v>0</v>
      </c>
      <c r="AG16" s="6">
        <v>0</v>
      </c>
      <c r="AH16" s="6">
        <v>800</v>
      </c>
      <c r="AI16" s="12">
        <v>727</v>
      </c>
      <c r="AJ16" s="14">
        <v>60</v>
      </c>
      <c r="AK16" s="14">
        <v>568</v>
      </c>
      <c r="AL16" s="14">
        <v>0</v>
      </c>
      <c r="AM16" s="16">
        <v>500</v>
      </c>
      <c r="AN16" s="16">
        <v>150</v>
      </c>
      <c r="AO16" s="39">
        <v>350</v>
      </c>
    </row>
    <row r="17" spans="1:41" ht="30" x14ac:dyDescent="0.25">
      <c r="A17" s="55" t="s">
        <v>76</v>
      </c>
      <c r="B17" s="56">
        <v>128</v>
      </c>
      <c r="C17" s="2" t="s">
        <v>83</v>
      </c>
      <c r="D17" s="2">
        <v>1</v>
      </c>
      <c r="E17" s="2" t="s">
        <v>84</v>
      </c>
      <c r="F17" s="8">
        <v>95426</v>
      </c>
      <c r="G17" s="37">
        <f t="shared" si="1"/>
        <v>381704</v>
      </c>
      <c r="H17" s="7">
        <v>8700</v>
      </c>
      <c r="I17" s="7">
        <v>1500</v>
      </c>
      <c r="J17" s="7">
        <v>7962</v>
      </c>
      <c r="K17" s="7">
        <v>3000</v>
      </c>
      <c r="L17" s="7">
        <v>3738</v>
      </c>
      <c r="M17" s="6">
        <v>7038</v>
      </c>
      <c r="N17" s="12">
        <v>8000</v>
      </c>
      <c r="O17" s="14">
        <v>3000</v>
      </c>
      <c r="P17" s="14">
        <v>1650</v>
      </c>
      <c r="Q17" s="14">
        <v>1200</v>
      </c>
      <c r="R17" s="14">
        <v>2064</v>
      </c>
      <c r="S17" s="14">
        <v>2064</v>
      </c>
      <c r="T17" s="14">
        <v>1000</v>
      </c>
      <c r="U17" s="14">
        <v>2000</v>
      </c>
      <c r="V17" s="14">
        <v>1900</v>
      </c>
      <c r="W17" s="14">
        <v>3000</v>
      </c>
      <c r="X17" s="14">
        <v>1241</v>
      </c>
      <c r="Y17" s="7">
        <v>2870</v>
      </c>
      <c r="Z17" s="7">
        <v>800</v>
      </c>
      <c r="AA17" s="7">
        <v>1300</v>
      </c>
      <c r="AB17" s="7">
        <v>2000</v>
      </c>
      <c r="AC17" s="7">
        <v>3600</v>
      </c>
      <c r="AD17" s="7">
        <v>1000</v>
      </c>
      <c r="AE17" s="6">
        <v>4500</v>
      </c>
      <c r="AF17" s="6">
        <v>900</v>
      </c>
      <c r="AG17" s="6">
        <v>0</v>
      </c>
      <c r="AH17" s="6">
        <v>350</v>
      </c>
      <c r="AI17" s="12">
        <v>7988</v>
      </c>
      <c r="AJ17" s="14">
        <v>5694</v>
      </c>
      <c r="AK17" s="14">
        <v>3507</v>
      </c>
      <c r="AL17" s="14">
        <v>910</v>
      </c>
      <c r="AM17" s="16">
        <v>360</v>
      </c>
      <c r="AN17" s="16">
        <v>250</v>
      </c>
      <c r="AO17" s="39">
        <v>340</v>
      </c>
    </row>
    <row r="18" spans="1:41" ht="30" x14ac:dyDescent="0.25">
      <c r="A18" s="55" t="s">
        <v>76</v>
      </c>
      <c r="B18" s="56">
        <v>128</v>
      </c>
      <c r="C18" s="2" t="s">
        <v>83</v>
      </c>
      <c r="D18" s="2">
        <v>2</v>
      </c>
      <c r="E18" s="2" t="s">
        <v>85</v>
      </c>
      <c r="F18" s="8">
        <v>90637</v>
      </c>
      <c r="G18" s="37">
        <f t="shared" si="1"/>
        <v>362548</v>
      </c>
      <c r="H18" s="7">
        <v>10500</v>
      </c>
      <c r="I18" s="7">
        <v>2000</v>
      </c>
      <c r="J18" s="7">
        <v>6096</v>
      </c>
      <c r="K18" s="7">
        <v>3000</v>
      </c>
      <c r="L18" s="7">
        <v>2166</v>
      </c>
      <c r="M18" s="6">
        <v>9196</v>
      </c>
      <c r="N18" s="12">
        <v>6400</v>
      </c>
      <c r="O18" s="14">
        <v>2500</v>
      </c>
      <c r="P18" s="14">
        <v>3400</v>
      </c>
      <c r="Q18" s="14">
        <v>1500</v>
      </c>
      <c r="R18" s="14">
        <v>2280</v>
      </c>
      <c r="S18" s="14">
        <v>2280</v>
      </c>
      <c r="T18" s="14">
        <v>500</v>
      </c>
      <c r="U18" s="14">
        <v>1400</v>
      </c>
      <c r="V18" s="14">
        <v>2300</v>
      </c>
      <c r="W18" s="14">
        <v>3100</v>
      </c>
      <c r="X18" s="14">
        <v>481</v>
      </c>
      <c r="Y18" s="7">
        <v>5140</v>
      </c>
      <c r="Z18" s="7">
        <v>1500</v>
      </c>
      <c r="AA18" s="7">
        <v>350</v>
      </c>
      <c r="AB18" s="7">
        <v>2400</v>
      </c>
      <c r="AC18" s="7">
        <v>1600</v>
      </c>
      <c r="AD18" s="7">
        <v>500</v>
      </c>
      <c r="AE18" s="6">
        <v>3500</v>
      </c>
      <c r="AF18" s="6">
        <v>1200</v>
      </c>
      <c r="AG18" s="6">
        <v>0</v>
      </c>
      <c r="AH18" s="6">
        <v>650</v>
      </c>
      <c r="AI18" s="12">
        <v>5760</v>
      </c>
      <c r="AJ18" s="14">
        <v>4928</v>
      </c>
      <c r="AK18" s="14">
        <v>2670</v>
      </c>
      <c r="AL18" s="14">
        <v>500</v>
      </c>
      <c r="AM18" s="16">
        <v>280</v>
      </c>
      <c r="AN18" s="16">
        <v>200</v>
      </c>
      <c r="AO18" s="39">
        <v>360</v>
      </c>
    </row>
    <row r="19" spans="1:41" ht="30" x14ac:dyDescent="0.25">
      <c r="A19" s="55" t="s">
        <v>76</v>
      </c>
      <c r="B19" s="56">
        <v>128</v>
      </c>
      <c r="C19" s="2" t="s">
        <v>83</v>
      </c>
      <c r="D19" s="2">
        <v>3</v>
      </c>
      <c r="E19" s="2" t="s">
        <v>86</v>
      </c>
      <c r="F19" s="8">
        <v>17674</v>
      </c>
      <c r="G19" s="37">
        <f t="shared" si="1"/>
        <v>70696</v>
      </c>
      <c r="H19" s="7">
        <v>3100</v>
      </c>
      <c r="I19" s="7">
        <v>0</v>
      </c>
      <c r="J19" s="7">
        <v>0</v>
      </c>
      <c r="K19" s="7">
        <v>100</v>
      </c>
      <c r="L19" s="7">
        <v>0</v>
      </c>
      <c r="M19" s="6">
        <v>1670</v>
      </c>
      <c r="N19" s="12">
        <v>1600</v>
      </c>
      <c r="O19" s="14">
        <v>600</v>
      </c>
      <c r="P19" s="14">
        <v>630</v>
      </c>
      <c r="Q19" s="14">
        <v>0</v>
      </c>
      <c r="R19" s="14">
        <v>200</v>
      </c>
      <c r="S19" s="14">
        <v>200</v>
      </c>
      <c r="T19" s="14">
        <v>20</v>
      </c>
      <c r="U19" s="14">
        <v>100</v>
      </c>
      <c r="V19" s="14">
        <v>250</v>
      </c>
      <c r="W19" s="14">
        <v>960</v>
      </c>
      <c r="X19" s="14">
        <v>30</v>
      </c>
      <c r="Y19" s="7">
        <v>1200</v>
      </c>
      <c r="Z19" s="7">
        <v>200</v>
      </c>
      <c r="AA19" s="7">
        <v>0</v>
      </c>
      <c r="AB19" s="7">
        <v>600</v>
      </c>
      <c r="AC19" s="7">
        <v>600</v>
      </c>
      <c r="AD19" s="7">
        <v>500</v>
      </c>
      <c r="AE19" s="6">
        <v>1000</v>
      </c>
      <c r="AF19" s="6">
        <v>450</v>
      </c>
      <c r="AG19" s="6">
        <v>0</v>
      </c>
      <c r="AH19" s="6">
        <v>60</v>
      </c>
      <c r="AI19" s="12">
        <v>1239</v>
      </c>
      <c r="AJ19" s="14">
        <v>1635</v>
      </c>
      <c r="AK19" s="14">
        <v>280</v>
      </c>
      <c r="AL19" s="14">
        <v>90</v>
      </c>
      <c r="AM19" s="16">
        <v>160</v>
      </c>
      <c r="AN19" s="16">
        <v>50</v>
      </c>
      <c r="AO19" s="39">
        <v>150</v>
      </c>
    </row>
    <row r="20" spans="1:41" x14ac:dyDescent="0.25">
      <c r="A20" s="26"/>
      <c r="B20" s="4"/>
      <c r="C20" s="26"/>
      <c r="D20" s="4"/>
      <c r="E20" s="26"/>
      <c r="F20" s="25">
        <f>SUBTOTAL(9,Tableau1[QUANTITE TOTALE
ESTIMATIVE])</f>
        <v>1798310</v>
      </c>
      <c r="G20" s="25">
        <f>SUBTOTAL(9,Tableau1[QUANTITE TOTALE
MAXIMALE
(coefficient 4)])</f>
        <v>7193240</v>
      </c>
      <c r="H20" s="25">
        <f>SUBTOTAL(9,Tableau1[C.H.U. DE BREST])</f>
        <v>171060</v>
      </c>
      <c r="I20" s="25">
        <f>SUBTOTAL(9,Tableau1[C.H. DES PAYS
DE MORLAIX])</f>
        <v>67480</v>
      </c>
      <c r="J20" s="25">
        <f>SUBTOTAL(9,Tableau1[C.H. FERDINAND GRALL
(LANDERNEAU)])</f>
        <v>73025</v>
      </c>
      <c r="K20" s="25">
        <f>SUBTOTAL(9,Tableau1[ C.H. DE LANMEUR])</f>
        <v>30025</v>
      </c>
      <c r="L20" s="25">
        <f>SUBTOTAL(9,Tableau1[ C.H. DE LA PRESQU''ÎLE
DE CROZON])</f>
        <v>41088</v>
      </c>
      <c r="M20" s="25">
        <f>SUBTOTAL(9,Tableau1[ C.H.I. DE CORNOUAILLE
(QUIMPER-CONCARNEAU)])</f>
        <v>142687</v>
      </c>
      <c r="N20" s="25">
        <f>SUBTOTAL(9,Tableau1[ G.H. BRETAGNE SUD
(LORIENT-CAUDAN
-QUIMPERLE)])</f>
        <v>178900</v>
      </c>
      <c r="O20" s="25">
        <f>SUBTOTAL(9,Tableau1[ C.H.U. DE RENNES])</f>
        <v>100850</v>
      </c>
      <c r="P20" s="25">
        <f>SUBTOTAL(9,Tableau1[C.H.I. DE REDON-CARENTOIR])</f>
        <v>38385</v>
      </c>
      <c r="Q20" s="25">
        <f>SUBTOTAL(9,Tableau1[ C.H. SIMONE VEIL
(VITRE)])</f>
        <v>16020</v>
      </c>
      <c r="R20" s="25">
        <f>SUBTOTAL(9,Tableau1[ C.H. DE BROCELIANDE
(MONTFORT SUR MEU)])</f>
        <v>84154</v>
      </c>
      <c r="S20" s="25">
        <f>SUBTOTAL(9,Tableau1[C.H. DU DOCTEUR
DE TERSANNES
(SAINT MEEN LE GRAND)])</f>
        <v>74644</v>
      </c>
      <c r="T20" s="25">
        <f>SUBTOTAL(9,Tableau1[ C.H. SAINT-JEAN
(LA GUERCHE
DE BRETAGNE)])</f>
        <v>18060</v>
      </c>
      <c r="U20" s="25">
        <f>SUBTOTAL(9,Tableau1[ C.H. LA ROCHE AUX FEES 
(JANZE)])</f>
        <v>7120</v>
      </c>
      <c r="V20" s="25">
        <f>SUBTOTAL(9,Tableau1[ C.H. DES MARCHES
DE BRETAGNE
(ANTRAIN)])</f>
        <v>32359</v>
      </c>
      <c r="W20" s="25">
        <f>SUBTOTAL(9,Tableau1[ C.H. DE FOUGERES ])</f>
        <v>36020</v>
      </c>
      <c r="X20" s="25">
        <f>SUBTOTAL(9,Tableau1[ C.H. DE GRAND FOUGERAY ])</f>
        <v>8765</v>
      </c>
      <c r="Y20" s="25">
        <f>SUBTOTAL(9,Tableau1[ C.H. YVES LE FOLL
(SAINT-BRIEUC)])</f>
        <v>100250</v>
      </c>
      <c r="Z20" s="25">
        <f>SUBTOTAL(9,Tableau1[ C.H. MAX QUERRIEN
(PAIMPOL)])</f>
        <v>54350</v>
      </c>
      <c r="AA20" s="25">
        <f>SUBTOTAL(9,Tableau1[ C.H. DE TREGUIER])</f>
        <v>51635</v>
      </c>
      <c r="AB20" s="25">
        <f>SUBTOTAL(9,Tableau1[ C.H. DE GUINGAMP ])</f>
        <v>43670</v>
      </c>
      <c r="AC20" s="25">
        <f>SUBTOTAL(9,Tableau1[ C.H. DU PENTHIEVRE ET DU POUDOUVRE (LAMBALLE) ])</f>
        <v>32180</v>
      </c>
      <c r="AD20" s="25">
        <f>SUBTOTAL(9,Tableau1[ C.H. PIERRE LE DAMANY
(LANNION-TRESTEL) ])</f>
        <v>44250</v>
      </c>
      <c r="AE20" s="25">
        <f>SUBTOTAL(9,Tableau1[ C.H. BRETAGNE ATLANTIQUE
(VANNES)])</f>
        <v>49650</v>
      </c>
      <c r="AF20" s="25">
        <f>SUBTOTAL(9,Tableau1[ C.H. ALPHONSE GUERIN
(PLOERMEL)])</f>
        <v>29855</v>
      </c>
      <c r="AG20" s="25">
        <f>SUBTOTAL(9,Tableau1[ E.H.P.A.D. DE MALESTROIT])</f>
        <v>2290</v>
      </c>
      <c r="AH20" s="25">
        <f>SUBTOTAL(9,Tableau1[ E.P.S.M. MORBIHAN
(SAINT-AVE)])</f>
        <v>20391</v>
      </c>
      <c r="AI20" s="25">
        <f>SUBTOTAL(9,Tableau1[ C.H. DU CENTRE-BRETAGNE
(PONTIVY)])</f>
        <v>56946</v>
      </c>
      <c r="AJ20" s="25">
        <f>SUBTOTAL(9,Tableau1[ C.H. BROUSSAIS
(SAINT-MALO)])</f>
        <v>77293</v>
      </c>
      <c r="AK20" s="25">
        <f>SUBTOTAL(9,Tableau1[ C.H. RENE PLEVEN
(DINAN)])</f>
        <v>58766</v>
      </c>
      <c r="AL20" s="25">
        <f>SUBTOTAL(9,Tableau1[ C.H. DES PRES BOSGERS
(CANCALE)])</f>
        <v>19280</v>
      </c>
      <c r="AM20" s="25">
        <f>SUBTOTAL(9,Tableau1[C.H. DE BEGARD (FONDATION
BON SAUVEUR)])</f>
        <v>24700</v>
      </c>
      <c r="AN20" s="25">
        <f>SUBTOTAL(9,Tableau1[C.S.S.R. DE KORN
ER HOUET])</f>
        <v>6150</v>
      </c>
      <c r="AO20" s="25">
        <f>SUBTOTAL(9,Tableau1[ C.S.S.R. DE KERAMPIR
(UGECAM 29) ])</f>
        <v>6012</v>
      </c>
    </row>
  </sheetData>
  <sheetProtection algorithmName="SHA-512" hashValue="1ndx9vYHR/f6ptG1EqEwKJCv3Ga4J+fzLBDIbRUTbyGmklHDa6yx4RRJMJz/g0t/irg6T0qGLyAAH4IHe7bo/Q==" saltValue="0WN49XSUSr1xu8YwoUMXNg==" spinCount="100000" sheet="1" objects="1" scenarios="1" formatCells="0" formatColumns="0" formatRows="0" sort="0" autoFilter="0"/>
  <mergeCells count="12">
    <mergeCell ref="AM8:AO8"/>
    <mergeCell ref="A1:G1"/>
    <mergeCell ref="A2:G2"/>
    <mergeCell ref="A5:G5"/>
    <mergeCell ref="O8:X8"/>
    <mergeCell ref="Y8:AD8"/>
    <mergeCell ref="AE8:AH8"/>
    <mergeCell ref="AJ8:AL8"/>
    <mergeCell ref="A3:G3"/>
    <mergeCell ref="H8:L8"/>
    <mergeCell ref="A8:G8"/>
    <mergeCell ref="A6:G6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G19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A6" sqref="A6:XFD6"/>
    </sheetView>
  </sheetViews>
  <sheetFormatPr baseColWidth="10" defaultRowHeight="15" outlineLevelCol="1" x14ac:dyDescent="0.25"/>
  <cols>
    <col min="1" max="1" width="32.140625" style="48" bestFit="1" customWidth="1" outlineLevel="1"/>
    <col min="2" max="2" width="9.7109375" style="1" bestFit="1" customWidth="1"/>
    <col min="3" max="3" width="26.5703125" style="48" customWidth="1"/>
    <col min="4" max="4" width="15.140625" style="1" bestFit="1" customWidth="1"/>
    <col min="5" max="5" width="31.28515625" style="48" bestFit="1" customWidth="1"/>
    <col min="6" max="6" width="30.140625" style="5" bestFit="1" customWidth="1"/>
    <col min="7" max="7" width="28.7109375" style="18" customWidth="1"/>
    <col min="8" max="16384" width="11.42578125" style="1"/>
  </cols>
  <sheetData>
    <row r="1" spans="1:7" ht="26.25" x14ac:dyDescent="0.25">
      <c r="A1" s="62" t="s">
        <v>45</v>
      </c>
      <c r="B1" s="62"/>
      <c r="C1" s="62"/>
      <c r="D1" s="62"/>
      <c r="E1" s="62"/>
      <c r="F1" s="62"/>
      <c r="G1" s="19"/>
    </row>
    <row r="2" spans="1:7" ht="23.25" x14ac:dyDescent="0.25">
      <c r="A2" s="63" t="s">
        <v>26</v>
      </c>
      <c r="B2" s="63"/>
      <c r="C2" s="63"/>
      <c r="D2" s="63"/>
      <c r="E2" s="63"/>
      <c r="F2" s="63"/>
      <c r="G2" s="20"/>
    </row>
    <row r="3" spans="1:7" ht="23.25" x14ac:dyDescent="0.25">
      <c r="A3" s="68" t="s">
        <v>68</v>
      </c>
      <c r="B3" s="68"/>
      <c r="C3" s="68"/>
      <c r="D3" s="68"/>
      <c r="E3" s="68"/>
      <c r="F3" s="68"/>
      <c r="G3" s="20"/>
    </row>
    <row r="5" spans="1:7" ht="15.75" x14ac:dyDescent="0.25">
      <c r="A5" s="64" t="s">
        <v>35</v>
      </c>
      <c r="B5" s="64"/>
      <c r="C5" s="64"/>
      <c r="D5" s="64"/>
      <c r="E5" s="64"/>
      <c r="F5" s="64"/>
    </row>
    <row r="7" spans="1:7" s="30" customFormat="1" ht="42" x14ac:dyDescent="0.35">
      <c r="A7" s="69" t="s">
        <v>7</v>
      </c>
      <c r="B7" s="69"/>
      <c r="C7" s="69"/>
      <c r="D7" s="69"/>
      <c r="E7" s="69"/>
      <c r="F7" s="69"/>
      <c r="G7" s="57" t="s">
        <v>6</v>
      </c>
    </row>
    <row r="8" spans="1:7" s="4" customFormat="1" ht="30" x14ac:dyDescent="0.25">
      <c r="A8" s="52" t="s">
        <v>5</v>
      </c>
      <c r="B8" s="23" t="s">
        <v>0</v>
      </c>
      <c r="C8" s="28" t="s">
        <v>1</v>
      </c>
      <c r="D8" s="23" t="s">
        <v>2</v>
      </c>
      <c r="E8" s="28" t="s">
        <v>3</v>
      </c>
      <c r="F8" s="24" t="s">
        <v>46</v>
      </c>
      <c r="G8" s="9" t="s">
        <v>8</v>
      </c>
    </row>
    <row r="9" spans="1:7" x14ac:dyDescent="0.25">
      <c r="A9" s="50" t="s">
        <v>70</v>
      </c>
      <c r="B9" s="3">
        <v>25</v>
      </c>
      <c r="C9" s="2" t="s">
        <v>71</v>
      </c>
      <c r="D9" s="2">
        <v>1</v>
      </c>
      <c r="E9" s="2" t="s">
        <v>72</v>
      </c>
      <c r="F9" s="8">
        <f>+SUM(G9:G9)</f>
        <v>1</v>
      </c>
      <c r="G9" s="17">
        <v>1</v>
      </c>
    </row>
    <row r="10" spans="1:7" x14ac:dyDescent="0.25">
      <c r="A10" s="50" t="s">
        <v>73</v>
      </c>
      <c r="B10" s="3">
        <v>49</v>
      </c>
      <c r="C10" s="2" t="s">
        <v>74</v>
      </c>
      <c r="D10" s="2">
        <v>1</v>
      </c>
      <c r="E10" s="2" t="s">
        <v>75</v>
      </c>
      <c r="F10" s="8">
        <f>+SUM(G10:G10)</f>
        <v>1</v>
      </c>
      <c r="G10" s="17">
        <v>1</v>
      </c>
    </row>
    <row r="11" spans="1:7" x14ac:dyDescent="0.25">
      <c r="A11" s="50" t="s">
        <v>76</v>
      </c>
      <c r="B11" s="3">
        <v>50</v>
      </c>
      <c r="C11" s="2" t="s">
        <v>77</v>
      </c>
      <c r="D11" s="2">
        <v>1</v>
      </c>
      <c r="E11" s="2" t="s">
        <v>78</v>
      </c>
      <c r="F11" s="8">
        <f>+SUM(G11:G11)</f>
        <v>1</v>
      </c>
      <c r="G11" s="17">
        <v>1</v>
      </c>
    </row>
    <row r="12" spans="1:7" x14ac:dyDescent="0.25">
      <c r="A12" s="50" t="s">
        <v>76</v>
      </c>
      <c r="B12" s="3">
        <v>113</v>
      </c>
      <c r="C12" s="2" t="s">
        <v>79</v>
      </c>
      <c r="D12" s="2">
        <v>1</v>
      </c>
      <c r="E12" s="2" t="s">
        <v>80</v>
      </c>
      <c r="F12" s="8">
        <f>+SUM(G12:G12)</f>
        <v>1</v>
      </c>
      <c r="G12" s="17">
        <v>1</v>
      </c>
    </row>
    <row r="13" spans="1:7" x14ac:dyDescent="0.25">
      <c r="A13" s="50" t="s">
        <v>76</v>
      </c>
      <c r="B13" s="3">
        <v>113</v>
      </c>
      <c r="C13" s="2" t="s">
        <v>79</v>
      </c>
      <c r="D13" s="2">
        <v>2</v>
      </c>
      <c r="E13" s="2" t="s">
        <v>81</v>
      </c>
      <c r="F13" s="8">
        <f>+SUM(G13:G13)</f>
        <v>1</v>
      </c>
      <c r="G13" s="17">
        <v>1</v>
      </c>
    </row>
    <row r="14" spans="1:7" x14ac:dyDescent="0.25">
      <c r="A14" s="51" t="s">
        <v>76</v>
      </c>
      <c r="B14" s="40">
        <v>113</v>
      </c>
      <c r="C14" s="41" t="s">
        <v>79</v>
      </c>
      <c r="D14" s="41">
        <v>3</v>
      </c>
      <c r="E14" s="41" t="s">
        <v>75</v>
      </c>
      <c r="F14" s="42">
        <f>+SUM(G14:G14)</f>
        <v>1</v>
      </c>
      <c r="G14" s="43">
        <v>1</v>
      </c>
    </row>
    <row r="15" spans="1:7" s="4" customFormat="1" x14ac:dyDescent="0.25">
      <c r="A15" s="50" t="s">
        <v>76</v>
      </c>
      <c r="B15" s="3">
        <v>113</v>
      </c>
      <c r="C15" s="2" t="s">
        <v>79</v>
      </c>
      <c r="D15" s="2">
        <v>4</v>
      </c>
      <c r="E15" s="2" t="s">
        <v>82</v>
      </c>
      <c r="F15" s="8">
        <f>+SUM(G15:G15)</f>
        <v>1</v>
      </c>
      <c r="G15" s="17">
        <v>1</v>
      </c>
    </row>
    <row r="16" spans="1:7" x14ac:dyDescent="0.25">
      <c r="A16" s="50" t="s">
        <v>76</v>
      </c>
      <c r="B16" s="3">
        <v>128</v>
      </c>
      <c r="C16" s="2" t="s">
        <v>83</v>
      </c>
      <c r="D16" s="2">
        <v>1</v>
      </c>
      <c r="E16" s="2" t="s">
        <v>84</v>
      </c>
      <c r="F16" s="8">
        <f>+SUM(G16:G16)</f>
        <v>1</v>
      </c>
      <c r="G16" s="17">
        <v>1</v>
      </c>
    </row>
    <row r="17" spans="1:7" x14ac:dyDescent="0.25">
      <c r="A17" s="50" t="s">
        <v>76</v>
      </c>
      <c r="B17" s="3">
        <v>128</v>
      </c>
      <c r="C17" s="2" t="s">
        <v>83</v>
      </c>
      <c r="D17" s="2">
        <v>2</v>
      </c>
      <c r="E17" s="2" t="s">
        <v>85</v>
      </c>
      <c r="F17" s="8">
        <f>+SUM(G17:G17)</f>
        <v>1</v>
      </c>
      <c r="G17" s="17">
        <v>1</v>
      </c>
    </row>
    <row r="18" spans="1:7" x14ac:dyDescent="0.25">
      <c r="A18" s="50" t="s">
        <v>76</v>
      </c>
      <c r="B18" s="3">
        <v>128</v>
      </c>
      <c r="C18" s="2" t="s">
        <v>83</v>
      </c>
      <c r="D18" s="2">
        <v>3</v>
      </c>
      <c r="E18" s="2" t="s">
        <v>86</v>
      </c>
      <c r="F18" s="8">
        <f>+SUM(G18:G18)</f>
        <v>1</v>
      </c>
      <c r="G18" s="17">
        <v>1</v>
      </c>
    </row>
    <row r="19" spans="1:7" x14ac:dyDescent="0.25">
      <c r="A19" s="26"/>
      <c r="B19" s="4"/>
      <c r="C19" s="26"/>
      <c r="D19" s="4"/>
      <c r="E19" s="26"/>
      <c r="F19" s="25">
        <f>SUBTOTAL(9,Tableau2[TOTAL
SPECIMENS/ECHANTILLONS])</f>
        <v>10</v>
      </c>
      <c r="G19" s="25">
        <f>SUBTOTAL(9,Tableau2[C.H.U. DE BREST])</f>
        <v>10</v>
      </c>
    </row>
  </sheetData>
  <sheetProtection algorithmName="SHA-512" hashValue="/CwiZ0l+qpGFjkVEDXt5ROCmMaGKBQrjTXOC9eP5n3eUS3MfbGtnA0YbdaD0sCHoYeqw75IGZbFL7qLgoNzRiQ==" saltValue="YEGIql1YilqbdJRWbR4uUg==" spinCount="100000" sheet="1" objects="1" scenarios="1" formatCells="0" formatColumns="0" formatRows="0" sort="0" autoFilter="0"/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13"/>
  <sheetViews>
    <sheetView showGridLines="0" zoomScale="85" zoomScaleNormal="85" workbookViewId="0">
      <pane ySplit="7" topLeftCell="A8" activePane="bottomLeft" state="frozen"/>
      <selection pane="bottomLeft" activeCell="D23" sqref="D23"/>
    </sheetView>
  </sheetViews>
  <sheetFormatPr baseColWidth="10" defaultRowHeight="15" outlineLevelCol="1" x14ac:dyDescent="0.25"/>
  <cols>
    <col min="1" max="1" width="32.140625" style="48" bestFit="1" customWidth="1" outlineLevel="1"/>
    <col min="2" max="2" width="9.7109375" style="1" bestFit="1" customWidth="1"/>
    <col min="3" max="3" width="19.5703125" style="48" bestFit="1" customWidth="1"/>
    <col min="4" max="5" width="22.28515625" style="5" bestFit="1" customWidth="1"/>
    <col min="6" max="16384" width="11.42578125" style="1"/>
  </cols>
  <sheetData>
    <row r="1" spans="1:5" ht="26.25" x14ac:dyDescent="0.25">
      <c r="A1" s="62" t="s">
        <v>67</v>
      </c>
      <c r="B1" s="62"/>
      <c r="C1" s="62"/>
      <c r="D1" s="62"/>
      <c r="E1" s="62"/>
    </row>
    <row r="2" spans="1:5" ht="23.25" x14ac:dyDescent="0.25">
      <c r="A2" s="63" t="s">
        <v>26</v>
      </c>
      <c r="B2" s="63"/>
      <c r="C2" s="63"/>
      <c r="D2" s="63"/>
      <c r="E2" s="63"/>
    </row>
    <row r="3" spans="1:5" ht="15.75" x14ac:dyDescent="0.25">
      <c r="A3" s="68" t="s">
        <v>68</v>
      </c>
      <c r="B3" s="68"/>
      <c r="C3" s="68"/>
      <c r="D3" s="68"/>
      <c r="E3" s="68"/>
    </row>
    <row r="5" spans="1:5" s="22" customFormat="1" ht="15.75" x14ac:dyDescent="0.25">
      <c r="A5" s="64" t="s">
        <v>65</v>
      </c>
      <c r="B5" s="64"/>
      <c r="C5" s="64"/>
      <c r="D5" s="64"/>
      <c r="E5" s="64"/>
    </row>
    <row r="7" spans="1:5" s="26" customFormat="1" ht="45" x14ac:dyDescent="0.25">
      <c r="A7" s="44" t="s">
        <v>5</v>
      </c>
      <c r="B7" s="45" t="s">
        <v>0</v>
      </c>
      <c r="C7" s="45" t="s">
        <v>1</v>
      </c>
      <c r="D7" s="46" t="s">
        <v>4</v>
      </c>
      <c r="E7" s="53" t="s">
        <v>27</v>
      </c>
    </row>
    <row r="8" spans="1:5" x14ac:dyDescent="0.25">
      <c r="A8" s="50" t="s">
        <v>70</v>
      </c>
      <c r="B8" s="3">
        <v>25</v>
      </c>
      <c r="C8" s="2" t="s">
        <v>71</v>
      </c>
      <c r="D8" s="8">
        <f>SUMIFS(QUANTITES!F:F,QUANTITES!B:B,LOTS!B8)</f>
        <v>2657</v>
      </c>
      <c r="E8" s="54">
        <f t="shared" ref="E8:E12" si="0">D8*4</f>
        <v>10628</v>
      </c>
    </row>
    <row r="9" spans="1:5" x14ac:dyDescent="0.25">
      <c r="A9" s="50" t="s">
        <v>73</v>
      </c>
      <c r="B9" s="3">
        <v>49</v>
      </c>
      <c r="C9" s="2" t="s">
        <v>74</v>
      </c>
      <c r="D9" s="8">
        <f>SUMIFS(QUANTITES!F:F,QUANTITES!B:B,LOTS!B9)</f>
        <v>867492</v>
      </c>
      <c r="E9" s="54">
        <f t="shared" si="0"/>
        <v>3469968</v>
      </c>
    </row>
    <row r="10" spans="1:5" x14ac:dyDescent="0.25">
      <c r="A10" s="50" t="s">
        <v>76</v>
      </c>
      <c r="B10" s="3">
        <v>50</v>
      </c>
      <c r="C10" s="2" t="s">
        <v>77</v>
      </c>
      <c r="D10" s="8">
        <f>SUMIFS(QUANTITES!F:F,QUANTITES!B:B,LOTS!B10)</f>
        <v>30798</v>
      </c>
      <c r="E10" s="54">
        <f t="shared" si="0"/>
        <v>123192</v>
      </c>
    </row>
    <row r="11" spans="1:5" x14ac:dyDescent="0.25">
      <c r="A11" s="50" t="s">
        <v>76</v>
      </c>
      <c r="B11" s="3">
        <v>113</v>
      </c>
      <c r="C11" s="2" t="s">
        <v>79</v>
      </c>
      <c r="D11" s="8">
        <f>SUMIFS(QUANTITES!F:F,QUANTITES!B:B,LOTS!B11)</f>
        <v>693626</v>
      </c>
      <c r="E11" s="54">
        <f t="shared" si="0"/>
        <v>2774504</v>
      </c>
    </row>
    <row r="12" spans="1:5" x14ac:dyDescent="0.25">
      <c r="A12" s="50" t="s">
        <v>76</v>
      </c>
      <c r="B12" s="3">
        <v>128</v>
      </c>
      <c r="C12" s="2" t="s">
        <v>83</v>
      </c>
      <c r="D12" s="8">
        <f>SUMIFS(QUANTITES!F:F,QUANTITES!B:B,LOTS!B12)</f>
        <v>203737</v>
      </c>
      <c r="E12" s="54">
        <f t="shared" si="0"/>
        <v>814948</v>
      </c>
    </row>
    <row r="13" spans="1:5" s="4" customFormat="1" x14ac:dyDescent="0.25">
      <c r="A13" s="26"/>
      <c r="C13" s="26"/>
      <c r="D13" s="25">
        <f>SUBTOTAL(9,Tableau3[QUANTITE TOTALE
ESTIMATIVE])</f>
        <v>1798310</v>
      </c>
      <c r="E13" s="25">
        <f>SUBTOTAL(9,Tableau3[QUANTITE TOTALE
MAXIMALE
(coefficient 4)])</f>
        <v>7193240</v>
      </c>
    </row>
  </sheetData>
  <sheetProtection algorithmName="SHA-512" hashValue="6GlOzwJZ5YOQHvHbNlEMWbFunEC79rapyRmKiB1q3w9o3wy6r1uP0lxfwuvpFeIX1VVCxb1c0TfbvJ0n9OGh/Q==" saltValue="uyLh5wXU0I7W+0jd6SwAww==" spinCount="100000" sheet="1" objects="1" scenarios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MACRO</vt:lpstr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2025-04-03T13:47:52Z</dcterms:modified>
</cp:coreProperties>
</file>