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7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1_Marchés publics\2024\041-24 - Restauration collective AC - chorus - Titulaire - LB\2 - Publication\2-1 DC publié\041-24_DC publié_20250404\"/>
    </mc:Choice>
  </mc:AlternateContent>
  <xr:revisionPtr revIDLastSave="0" documentId="13_ncr:81_{E2D04619-057D-4482-AB9F-B80600F63129}" xr6:coauthVersionLast="47" xr6:coauthVersionMax="47" xr10:uidLastSave="{00000000-0000-0000-0000-000000000000}"/>
  <bookViews>
    <workbookView xWindow="-28920" yWindow="-360" windowWidth="29040" windowHeight="15840" xr2:uid="{00000000-000D-0000-FFFF-FFFF00000000}"/>
  </bookViews>
  <sheets>
    <sheet name="041-24 CCTP Annexe1 - 2023" sheetId="3" r:id="rId1"/>
    <sheet name="041-24 CCTP Annexe1 - 2024" sheetId="1" r:id="rId2"/>
    <sheet name="S.O." sheetId="2" r:id="rId3"/>
  </sheets>
  <definedNames>
    <definedName name="Z_0EA2A0E4_3571_4C45_BBF8_BCABC864F506_.wvu.PrintArea" localSheetId="1" hidden="1">'041-24 CCTP Annexe1 - 2024'!$A$2:$BI$95</definedName>
    <definedName name="Z_35E7B74B_5C50_4345_AD18_D6131D85F12B_.wvu.PrintArea" localSheetId="1" hidden="1">'041-24 CCTP Annexe1 - 2024'!$A$2:$BI$95</definedName>
    <definedName name="Z_4879BAEC_3791_4658_A693_FD2329FBE62F_.wvu.PrintArea" localSheetId="1" hidden="1">'041-24 CCTP Annexe1 - 2024'!$A$2:$BI$95</definedName>
    <definedName name="Z_6462001D_9448_412B_8B6E_D6C1233548C2_.wvu.PrintArea" localSheetId="1" hidden="1">'041-24 CCTP Annexe1 - 2024'!$A$51:$AE$89</definedName>
    <definedName name="Z_781FA43A_FAFC_44CB_8225_E8FEFB665584_.wvu.PrintArea" localSheetId="1" hidden="1">'041-24 CCTP Annexe1 - 2024'!$A$2:$BI$95</definedName>
    <definedName name="Z_781FA43A_FAFC_44CB_8225_E8FEFB665584_.wvu.Rows" localSheetId="1" hidden="1">'041-24 CCTP Annexe1 - 2024'!$5:$6,'041-24 CCTP Annexe1 - 2024'!$46:$47,'041-24 CCTP Annexe1 - 2024'!#REF!,'041-24 CCTP Annexe1 - 2024'!$88:$89,'041-24 CCTP Annexe1 - 2024'!#REF!</definedName>
    <definedName name="Z_7A427BED_51F8_462D_8971_894E6F1E1807_.wvu.PrintArea" localSheetId="1" hidden="1">'041-24 CCTP Annexe1 - 2024'!$A$2:$BI$95</definedName>
    <definedName name="Z_7A427BED_51F8_462D_8971_894E6F1E1807_.wvu.Rows" localSheetId="1" hidden="1">'041-24 CCTP Annexe1 - 2024'!$5:$6,'041-24 CCTP Annexe1 - 2024'!$46:$47,'041-24 CCTP Annexe1 - 2024'!#REF!,'041-24 CCTP Annexe1 - 2024'!$88:$89,'041-24 CCTP Annexe1 - 2024'!#REF!</definedName>
    <definedName name="Z_BA339803_3FD5_4912_A3D8_658AEF0F7917_.wvu.PrintArea" localSheetId="1" hidden="1">'041-24 CCTP Annexe1 - 2024'!$A$2:$BI$95</definedName>
    <definedName name="Z_BA339803_3FD5_4912_A3D8_658AEF0F7917_.wvu.Rows" localSheetId="1" hidden="1">'041-24 CCTP Annexe1 - 2024'!$5:$6,'041-24 CCTP Annexe1 - 2024'!$46:$47,'041-24 CCTP Annexe1 - 2024'!#REF!,'041-24 CCTP Annexe1 - 2024'!$88:$89,'041-24 CCTP Annexe1 - 2024'!#REF!</definedName>
    <definedName name="Z_BFDCF3BE_F74C_42B4_8F42_062335C5AF51_.wvu.PrintArea" localSheetId="1" hidden="1">'041-24 CCTP Annexe1 - 2024'!$A$2:$BI$95</definedName>
    <definedName name="Z_DC83EED9_1C3E_4C6D_A1B0_31B6A84600EF_.wvu.PrintArea" localSheetId="1" hidden="1">'041-24 CCTP Annexe1 - 2024'!$A$2:$BI$95</definedName>
    <definedName name="Z_E1046189_0593_4822_85B0_4CB712D915A8_.wvu.PrintArea" localSheetId="1" hidden="1">'041-24 CCTP Annexe1 - 2024'!$A$2:$BI$95</definedName>
    <definedName name="Z_E1046189_0593_4822_85B0_4CB712D915A8_.wvu.Rows" localSheetId="1" hidden="1">'041-24 CCTP Annexe1 - 2024'!$5:$6,'041-24 CCTP Annexe1 - 2024'!$46:$47,'041-24 CCTP Annexe1 - 2024'!#REF!,'041-24 CCTP Annexe1 - 2024'!$88:$89,'041-24 CCTP Annexe1 - 2024'!#REF!</definedName>
  </definedNames>
  <calcPr calcId="191029"/>
  <customWorkbookViews>
    <customWorkbookView name="SANSONE Katia - Affichage personnalisé" guid="{4261CD67-5D65-4DD2-973C-86E18F346915}" mergeInterval="0" personalView="1" maximized="1" xWindow="-8" yWindow="-8" windowWidth="1382" windowHeight="744" activeSheetId="2"/>
    <customWorkbookView name="Antoine Malbranque - Affichage personnalisé" guid="{4B9E6F47-E822-4B41-9FB8-C018EDEE05F0}" mergeInterval="0" personalView="1" maximized="1" xWindow="-11" yWindow="-11" windowWidth="1942" windowHeight="1030" activeSheetId="1"/>
    <customWorkbookView name="VICTOR DA CUNHA - Affichage personnalisé" guid="{DC83EED9-1C3E-4C6D-A1B0-31B6A84600EF}" mergeInterval="0" personalView="1" maximized="1" xWindow="1912" yWindow="-8" windowWidth="1616" windowHeight="876" activeSheetId="1"/>
    <customWorkbookView name="FLORIAN NIZART - Affichage personnalisé" guid="{FC65A447-76B1-46C3-A530-BE3BD63222E5}" mergeInterval="0" personalView="1" maximized="1" xWindow="-8" yWindow="-8" windowWidth="1936" windowHeight="1056" activeSheetId="1"/>
    <customWorkbookView name="JOELLE PARIS - Affichage personnalisé" guid="{4879BAEC-3791-4658-A693-FD2329FBE62F}" mergeInterval="0" personalView="1" maximized="1" xWindow="-8" yWindow="-8" windowWidth="1616" windowHeight="876" activeSheetId="1"/>
    <customWorkbookView name="AKOSSIWA NADIA SOGLO - Affichage personnalisé" guid="{09DE77B0-8E94-4D06-BCF9-B250CC3DB143}" mergeInterval="0" personalView="1" maximized="1" xWindow="1912" yWindow="-8" windowWidth="1296" windowHeight="1000" activeSheetId="1"/>
    <customWorkbookView name="DAMIEN DIMANCHE - Affichage personnalisé" guid="{7A427BED-51F8-462D-8971-894E6F1E1807}" mergeInterval="0" personalView="1" maximized="1" xWindow="1592" yWindow="-8" windowWidth="1696" windowHeight="1026" activeSheetId="1"/>
    <customWorkbookView name="TOM BARASZ - Affichage personnalisé" guid="{8AFE44F0-CCEB-490A-A987-FF999F737832}" mergeInterval="0" personalView="1" maximized="1" xWindow="1592" yWindow="-8" windowWidth="1616" windowHeight="876" activeSheetId="1"/>
    <customWorkbookView name="MAXIME LOYER - Affichage personnalisé" guid="{BA339803-3FD5-4912-A3D8-658AEF0F7917}" mergeInterval="0" personalView="1" maximized="1" xWindow="-8" yWindow="-8" windowWidth="1616" windowHeight="876" activeSheetId="1"/>
    <customWorkbookView name="FABRE Nathalie - Affichage personnalisé" guid="{E1046189-0593-4822-85B0-4CB712D915A8}" mergeInterval="0" personalView="1" maximized="1" xWindow="-8" yWindow="-8" windowWidth="1382" windowHeight="744" activeSheetId="1"/>
    <customWorkbookView name="ANTOINE BIANCO - Affichage personnalisé" guid="{781FA43A-FAFC-44CB-8225-E8FEFB665584}" mergeInterval="0" personalView="1" maximized="1" xWindow="-8" yWindow="-8" windowWidth="1616" windowHeight="876" activeSheetId="1"/>
    <customWorkbookView name="LUCIE TUAL - Affichage personnalisé" guid="{35E7B74B-5C50-4345-AD18-D6131D85F12B}" mergeInterval="0" personalView="1" maximized="1" xWindow="1912" yWindow="-8" windowWidth="1296" windowHeight="1000" activeSheetId="1"/>
    <customWorkbookView name="PHILIPPE DUTECH - Affichage personnalisé" guid="{38BA792E-EF95-4340-A8CF-68FD70006451}" mergeInterval="0" personalView="1" maximized="1" xWindow="-8" yWindow="-8" windowWidth="1936" windowHeight="1056" activeSheetId="1"/>
    <customWorkbookView name="JONATHAN ALCABELARD - Affichage personnalisé" guid="{4719C0D8-EE4A-4956-A237-9DAAAFF50362}" mergeInterval="0" personalView="1" maximized="1" xWindow="-9" yWindow="-9" windowWidth="1938" windowHeight="1048" activeSheetId="1"/>
    <customWorkbookView name="HEMON Bruno - Affichage personnalisé" guid="{6462001D-9448-412B-8B6E-D6C1233548C2}" mergeInterval="0" personalView="1" maximized="1" xWindow="-8" yWindow="-8" windowWidth="1936" windowHeight="1056" activeSheetId="1"/>
    <customWorkbookView name="FRANCOIS PONTOIR - Affichage personnalisé" guid="{F5BBF2EC-1D5D-4FD5-874A-CB11716B3312}" mergeInterval="0" personalView="1" maximized="1" xWindow="-9" yWindow="-9" windowWidth="1938" windowHeight="1048" activeSheetId="1"/>
    <customWorkbookView name="MIHARY ANDRIAMBOAVONJY - Affichage personnalisé" guid="{BFDCF3BE-F74C-42B4-8F42-062335C5AF51}" mergeInterval="0" personalView="1" maximized="1" xWindow="1912" yWindow="-8" windowWidth="1296" windowHeight="1000" activeSheetId="1"/>
    <customWorkbookView name="EMERIC DEREINE - Affichage personnalisé" guid="{096D0DC6-99EA-4F79-A509-C071224F6682}" mergeInterval="0" personalView="1" maximized="1" xWindow="1592" yWindow="-8" windowWidth="1296" windowHeight="1000" activeSheetId="1"/>
    <customWorkbookView name="BIRDAL GURBUZ - Affichage personnalisé" guid="{0EA2A0E4-3571-4C45-BBF8-BCABC864F506}" mergeInterval="0" personalView="1" maximized="1" xWindow="-9" yWindow="-9" windowWidth="1938" windowHeight="1048" activeSheetId="1"/>
    <customWorkbookView name="SENEBA DIOP - Affichage personnalisé" guid="{2D240480-6B64-4D29-A7D0-22E491BE40D6}" mergeInterval="0" personalView="1" maximized="1" xWindow="1912" yWindow="-8" windowWidth="1296" windowHeight="1000" activeSheetId="1"/>
    <customWorkbookView name="MARC-ANTOINE MARTIN - Affichage personnalisé" guid="{C18F1F9C-B116-4E95-8E90-53E8D7B1490F}" mergeInterval="0" personalView="1" maximized="1" xWindow="-8" yWindow="-8" windowWidth="1382" windowHeight="744" activeSheetId="1"/>
    <customWorkbookView name="BOISSIERE-MARCOU Tatia - Affichage personnalisé" guid="{F7DA9C1B-4821-440A-834F-2E15A1FB3CD1}" mergeInterval="0" personalView="1" maximized="1" xWindow="-8" yWindow="-8" windowWidth="1382" windowHeight="744" activeSheetId="1"/>
    <customWorkbookView name="BUTTAFOCO Laurence - Affichage personnalisé" guid="{00143794-1634-4728-804C-0864C5535C6C}" mergeInterval="0" personalView="1" maximized="1" xWindow="-1928" yWindow="-24" windowWidth="1936" windowHeight="1056" activeSheetId="3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90" i="3" l="1"/>
  <c r="BC89" i="3"/>
  <c r="BA89" i="3"/>
  <c r="AS89" i="3"/>
  <c r="AQ89" i="3"/>
  <c r="AI89" i="3"/>
  <c r="AH89" i="3"/>
  <c r="AG89" i="3"/>
  <c r="Y89" i="3"/>
  <c r="X89" i="3"/>
  <c r="W89" i="3"/>
  <c r="Q89" i="3"/>
  <c r="P89" i="3"/>
  <c r="O89" i="3"/>
  <c r="N89" i="3"/>
  <c r="M89" i="3"/>
  <c r="E89" i="3"/>
  <c r="D89" i="3"/>
  <c r="C89" i="3"/>
  <c r="BC88" i="3"/>
  <c r="BA88" i="3"/>
  <c r="AS88" i="3"/>
  <c r="AQ88" i="3"/>
  <c r="AI88" i="3"/>
  <c r="AH88" i="3"/>
  <c r="AG88" i="3"/>
  <c r="Y88" i="3"/>
  <c r="X88" i="3"/>
  <c r="W88" i="3"/>
  <c r="Q88" i="3"/>
  <c r="P88" i="3"/>
  <c r="O88" i="3"/>
  <c r="N88" i="3"/>
  <c r="M88" i="3"/>
  <c r="E88" i="3"/>
  <c r="D88" i="3"/>
  <c r="C88" i="3"/>
  <c r="BC85" i="3"/>
  <c r="BC87" i="3" s="1"/>
  <c r="BA85" i="3"/>
  <c r="BA87" i="3" s="1"/>
  <c r="AS85" i="3"/>
  <c r="AS87" i="3" s="1"/>
  <c r="AQ85" i="3"/>
  <c r="AQ87" i="3" s="1"/>
  <c r="AI85" i="3"/>
  <c r="AH85" i="3"/>
  <c r="AH87" i="3" s="1"/>
  <c r="AG85" i="3"/>
  <c r="AG87" i="3" s="1"/>
  <c r="Y85" i="3"/>
  <c r="Y87" i="3" s="1"/>
  <c r="X85" i="3"/>
  <c r="X87" i="3" s="1"/>
  <c r="W85" i="3"/>
  <c r="W87" i="3" s="1"/>
  <c r="Q85" i="3"/>
  <c r="Q87" i="3" s="1"/>
  <c r="P85" i="3"/>
  <c r="P87" i="3" s="1"/>
  <c r="O85" i="3"/>
  <c r="R85" i="3" s="1"/>
  <c r="R87" i="3" s="1"/>
  <c r="N85" i="3"/>
  <c r="N87" i="3" s="1"/>
  <c r="M85" i="3"/>
  <c r="M87" i="3" s="1"/>
  <c r="E85" i="3"/>
  <c r="E87" i="3" s="1"/>
  <c r="D85" i="3"/>
  <c r="D87" i="3" s="1"/>
  <c r="C85" i="3"/>
  <c r="C87" i="3" s="1"/>
  <c r="AL84" i="3"/>
  <c r="R84" i="3"/>
  <c r="H84" i="3"/>
  <c r="AU83" i="3"/>
  <c r="AV83" i="3" s="1"/>
  <c r="AL83" i="3"/>
  <c r="R83" i="3"/>
  <c r="BF82" i="3"/>
  <c r="AU82" i="3"/>
  <c r="AV82" i="3" s="1"/>
  <c r="AB82" i="3"/>
  <c r="R82" i="3"/>
  <c r="BF81" i="3"/>
  <c r="AU81" i="3"/>
  <c r="AT81" i="3"/>
  <c r="AV81" i="3" s="1"/>
  <c r="AA81" i="3"/>
  <c r="AB81" i="3" s="1"/>
  <c r="Z81" i="3"/>
  <c r="R81" i="3"/>
  <c r="H81" i="3"/>
  <c r="BF80" i="3"/>
  <c r="AU80" i="3"/>
  <c r="AV80" i="3" s="1"/>
  <c r="AL80" i="3"/>
  <c r="AB80" i="3"/>
  <c r="AA80" i="3"/>
  <c r="H80" i="3"/>
  <c r="AL79" i="3"/>
  <c r="AB79" i="3"/>
  <c r="F79" i="3"/>
  <c r="H79" i="3" s="1"/>
  <c r="AL78" i="3"/>
  <c r="AB78" i="3"/>
  <c r="R78" i="3"/>
  <c r="H78" i="3"/>
  <c r="AV77" i="3"/>
  <c r="AL77" i="3"/>
  <c r="R77" i="3"/>
  <c r="H77" i="3"/>
  <c r="AV76" i="3"/>
  <c r="AL76" i="3"/>
  <c r="R76" i="3"/>
  <c r="BF75" i="3"/>
  <c r="AV75" i="3"/>
  <c r="AT75" i="3"/>
  <c r="AB75" i="3"/>
  <c r="R75" i="3"/>
  <c r="BE74" i="3"/>
  <c r="BD74" i="3"/>
  <c r="BF74" i="3" s="1"/>
  <c r="AV74" i="3"/>
  <c r="AU74" i="3"/>
  <c r="AT74" i="3"/>
  <c r="AB74" i="3"/>
  <c r="R74" i="3"/>
  <c r="H74" i="3"/>
  <c r="BE73" i="3"/>
  <c r="BD73" i="3"/>
  <c r="BF73" i="3" s="1"/>
  <c r="AV73" i="3"/>
  <c r="AL73" i="3"/>
  <c r="AB73" i="3"/>
  <c r="H73" i="3"/>
  <c r="BE72" i="3"/>
  <c r="BD72" i="3"/>
  <c r="BF72" i="3" s="1"/>
  <c r="BB72" i="3"/>
  <c r="AL72" i="3"/>
  <c r="AA72" i="3"/>
  <c r="Z72" i="3"/>
  <c r="AB72" i="3" s="1"/>
  <c r="H72" i="3"/>
  <c r="BF71" i="3"/>
  <c r="AK71" i="3"/>
  <c r="AL71" i="3" s="1"/>
  <c r="Z71" i="3"/>
  <c r="AB71" i="3" s="1"/>
  <c r="R71" i="3"/>
  <c r="H71" i="3"/>
  <c r="AV70" i="3"/>
  <c r="AL70" i="3"/>
  <c r="R70" i="3"/>
  <c r="H70" i="3"/>
  <c r="AU69" i="3"/>
  <c r="AV69" i="3" s="1"/>
  <c r="AK69" i="3"/>
  <c r="AL69" i="3" s="1"/>
  <c r="R69" i="3"/>
  <c r="BD68" i="3"/>
  <c r="BF68" i="3" s="1"/>
  <c r="BB68" i="3"/>
  <c r="AV68" i="3"/>
  <c r="AU68" i="3"/>
  <c r="AA68" i="3"/>
  <c r="AA89" i="3" s="1"/>
  <c r="Z68" i="3"/>
  <c r="AB68" i="3" s="1"/>
  <c r="BE67" i="3"/>
  <c r="BD67" i="3"/>
  <c r="BF67" i="3" s="1"/>
  <c r="BB67" i="3"/>
  <c r="AU67" i="3"/>
  <c r="AV67" i="3" s="1"/>
  <c r="AR67" i="3"/>
  <c r="AR88" i="3" s="1"/>
  <c r="AB67" i="3"/>
  <c r="R67" i="3"/>
  <c r="BE66" i="3"/>
  <c r="BD66" i="3"/>
  <c r="BB66" i="3"/>
  <c r="BF66" i="3" s="1"/>
  <c r="AT66" i="3"/>
  <c r="AV66" i="3" s="1"/>
  <c r="AL66" i="3"/>
  <c r="AB66" i="3"/>
  <c r="H66" i="3"/>
  <c r="BE65" i="3"/>
  <c r="BB65" i="3"/>
  <c r="BF65" i="3" s="1"/>
  <c r="AL65" i="3"/>
  <c r="Z65" i="3"/>
  <c r="AB65" i="3" s="1"/>
  <c r="H65" i="3"/>
  <c r="BB64" i="3"/>
  <c r="BF64" i="3" s="1"/>
  <c r="AL64" i="3"/>
  <c r="AB64" i="3"/>
  <c r="R64" i="3"/>
  <c r="H64" i="3"/>
  <c r="AV63" i="3"/>
  <c r="AU63" i="3"/>
  <c r="AL63" i="3"/>
  <c r="R63" i="3"/>
  <c r="H63" i="3"/>
  <c r="AU62" i="3"/>
  <c r="AT62" i="3"/>
  <c r="AV62" i="3" s="1"/>
  <c r="AL62" i="3"/>
  <c r="R62" i="3"/>
  <c r="BF61" i="3"/>
  <c r="BE61" i="3"/>
  <c r="BD61" i="3"/>
  <c r="AV61" i="3"/>
  <c r="AB61" i="3"/>
  <c r="R61" i="3"/>
  <c r="BD60" i="3"/>
  <c r="BF60" i="3" s="1"/>
  <c r="BB60" i="3"/>
  <c r="AV60" i="3"/>
  <c r="AU60" i="3"/>
  <c r="AU88" i="3" s="1"/>
  <c r="AB60" i="3"/>
  <c r="R60" i="3"/>
  <c r="H60" i="3"/>
  <c r="BF59" i="3"/>
  <c r="BD59" i="3"/>
  <c r="BB59" i="3"/>
  <c r="AV59" i="3"/>
  <c r="AL59" i="3"/>
  <c r="AB59" i="3"/>
  <c r="H59" i="3"/>
  <c r="BF58" i="3"/>
  <c r="BE58" i="3"/>
  <c r="BD58" i="3"/>
  <c r="BB58" i="3"/>
  <c r="AK58" i="3"/>
  <c r="AL58" i="3" s="1"/>
  <c r="AB58" i="3"/>
  <c r="H58" i="3"/>
  <c r="BE57" i="3"/>
  <c r="BE89" i="3" s="1"/>
  <c r="BD57" i="3"/>
  <c r="BF57" i="3" s="1"/>
  <c r="BB57" i="3"/>
  <c r="BB89" i="3" s="1"/>
  <c r="AL57" i="3"/>
  <c r="AK57" i="3"/>
  <c r="AB57" i="3"/>
  <c r="R57" i="3"/>
  <c r="G57" i="3"/>
  <c r="G89" i="3" s="1"/>
  <c r="F57" i="3"/>
  <c r="F89" i="3" s="1"/>
  <c r="AV56" i="3"/>
  <c r="AK56" i="3"/>
  <c r="AL56" i="3" s="1"/>
  <c r="R56" i="3"/>
  <c r="H56" i="3"/>
  <c r="AV55" i="3"/>
  <c r="AK55" i="3"/>
  <c r="AK85" i="3" s="1"/>
  <c r="AK87" i="3" s="1"/>
  <c r="AJ55" i="3"/>
  <c r="AJ89" i="3" s="1"/>
  <c r="R55" i="3"/>
  <c r="BF54" i="3"/>
  <c r="AB54" i="3"/>
  <c r="R54" i="3"/>
  <c r="BC47" i="3"/>
  <c r="BC6" i="3" s="1"/>
  <c r="BB47" i="3"/>
  <c r="BA47" i="3"/>
  <c r="AS47" i="3"/>
  <c r="AR47" i="3"/>
  <c r="AQ47" i="3"/>
  <c r="AI47" i="3"/>
  <c r="AH47" i="3"/>
  <c r="AG47" i="3"/>
  <c r="X47" i="3"/>
  <c r="W47" i="3"/>
  <c r="BA6" i="3" s="1"/>
  <c r="N47" i="3"/>
  <c r="M47" i="3"/>
  <c r="D47" i="3"/>
  <c r="C47" i="3"/>
  <c r="BC46" i="3"/>
  <c r="BB46" i="3"/>
  <c r="BA46" i="3"/>
  <c r="AU46" i="3"/>
  <c r="AS46" i="3"/>
  <c r="BC5" i="3" s="1"/>
  <c r="AR46" i="3"/>
  <c r="AQ46" i="3"/>
  <c r="AH46" i="3"/>
  <c r="AG46" i="3"/>
  <c r="X46" i="3"/>
  <c r="W46" i="3"/>
  <c r="N46" i="3"/>
  <c r="M46" i="3"/>
  <c r="D46" i="3"/>
  <c r="C46" i="3"/>
  <c r="BA5" i="3" s="1"/>
  <c r="BB45" i="3"/>
  <c r="AH45" i="3"/>
  <c r="M44" i="3"/>
  <c r="BA3" i="3" s="1"/>
  <c r="BC43" i="3"/>
  <c r="BC45" i="3" s="1"/>
  <c r="BB43" i="3"/>
  <c r="BA43" i="3"/>
  <c r="BA45" i="3" s="1"/>
  <c r="AS43" i="3"/>
  <c r="AS45" i="3" s="1"/>
  <c r="AR43" i="3"/>
  <c r="AR45" i="3" s="1"/>
  <c r="AQ43" i="3"/>
  <c r="AQ45" i="3" s="1"/>
  <c r="AI43" i="3"/>
  <c r="AI45" i="3" s="1"/>
  <c r="AH43" i="3"/>
  <c r="AG43" i="3"/>
  <c r="AG45" i="3" s="1"/>
  <c r="Y43" i="3"/>
  <c r="Y45" i="3" s="1"/>
  <c r="X43" i="3"/>
  <c r="X45" i="3" s="1"/>
  <c r="W43" i="3"/>
  <c r="W45" i="3" s="1"/>
  <c r="O43" i="3"/>
  <c r="O45" i="3" s="1"/>
  <c r="N43" i="3"/>
  <c r="M43" i="3"/>
  <c r="M45" i="3" s="1"/>
  <c r="E43" i="3"/>
  <c r="E45" i="3" s="1"/>
  <c r="D43" i="3"/>
  <c r="D45" i="3" s="1"/>
  <c r="C43" i="3"/>
  <c r="BA2" i="3" s="1"/>
  <c r="AV41" i="3"/>
  <c r="AU41" i="3"/>
  <c r="AA41" i="3"/>
  <c r="AB41" i="3" s="1"/>
  <c r="G41" i="3"/>
  <c r="H41" i="3" s="1"/>
  <c r="BF40" i="3"/>
  <c r="AV40" i="3"/>
  <c r="AB40" i="3"/>
  <c r="F40" i="3"/>
  <c r="H40" i="3" s="1"/>
  <c r="BF39" i="3"/>
  <c r="AB39" i="3"/>
  <c r="BF38" i="3"/>
  <c r="AL38" i="3"/>
  <c r="AB38" i="3"/>
  <c r="R38" i="3"/>
  <c r="BF37" i="3"/>
  <c r="BD37" i="3"/>
  <c r="AL37" i="3"/>
  <c r="AA37" i="3"/>
  <c r="Z37" i="3"/>
  <c r="AB37" i="3" s="1"/>
  <c r="R37" i="3"/>
  <c r="H37" i="3"/>
  <c r="G37" i="3"/>
  <c r="F37" i="3"/>
  <c r="BF36" i="3"/>
  <c r="AV36" i="3"/>
  <c r="AL36" i="3"/>
  <c r="G36" i="3"/>
  <c r="F36" i="3"/>
  <c r="H36" i="3" s="1"/>
  <c r="AV35" i="3"/>
  <c r="AL35" i="3"/>
  <c r="R35" i="3"/>
  <c r="H35" i="3"/>
  <c r="F35" i="3"/>
  <c r="AU34" i="3"/>
  <c r="AV34" i="3" s="1"/>
  <c r="AL34" i="3"/>
  <c r="AB34" i="3"/>
  <c r="R34" i="3"/>
  <c r="H34" i="3"/>
  <c r="BF33" i="3"/>
  <c r="AV33" i="3"/>
  <c r="AB33" i="3"/>
  <c r="R33" i="3"/>
  <c r="H33" i="3"/>
  <c r="BF32" i="3"/>
  <c r="AV32" i="3"/>
  <c r="AB32" i="3"/>
  <c r="Z32" i="3"/>
  <c r="R32" i="3"/>
  <c r="P32" i="3"/>
  <c r="BF31" i="3"/>
  <c r="AL31" i="3"/>
  <c r="AA31" i="3"/>
  <c r="AB31" i="3" s="1"/>
  <c r="R31" i="3"/>
  <c r="BF30" i="3"/>
  <c r="AL30" i="3"/>
  <c r="AB30" i="3"/>
  <c r="R30" i="3"/>
  <c r="P30" i="3"/>
  <c r="H30" i="3"/>
  <c r="F30" i="3"/>
  <c r="BF29" i="3"/>
  <c r="AV29" i="3"/>
  <c r="AK29" i="3"/>
  <c r="AL29" i="3" s="1"/>
  <c r="G29" i="3"/>
  <c r="H29" i="3" s="1"/>
  <c r="AL28" i="3"/>
  <c r="R28" i="3"/>
  <c r="H28" i="3"/>
  <c r="G28" i="3"/>
  <c r="F28" i="3"/>
  <c r="AV27" i="3"/>
  <c r="AT27" i="3"/>
  <c r="AL27" i="3"/>
  <c r="AB27" i="3"/>
  <c r="P27" i="3"/>
  <c r="R27" i="3" s="1"/>
  <c r="H27" i="3"/>
  <c r="G27" i="3"/>
  <c r="F27" i="3"/>
  <c r="BF26" i="3"/>
  <c r="BD26" i="3"/>
  <c r="AV26" i="3"/>
  <c r="AU26" i="3"/>
  <c r="AB26" i="3"/>
  <c r="P26" i="3"/>
  <c r="R26" i="3" s="1"/>
  <c r="G26" i="3"/>
  <c r="F26" i="3"/>
  <c r="H26" i="3" s="1"/>
  <c r="BF25" i="3"/>
  <c r="AT25" i="3"/>
  <c r="AV25" i="3" s="1"/>
  <c r="AA25" i="3"/>
  <c r="AB25" i="3" s="1"/>
  <c r="Q25" i="3"/>
  <c r="P25" i="3"/>
  <c r="R25" i="3" s="1"/>
  <c r="BF24" i="3"/>
  <c r="AL24" i="3"/>
  <c r="AA24" i="3"/>
  <c r="AB24" i="3" s="1"/>
  <c r="Z24" i="3"/>
  <c r="Q24" i="3"/>
  <c r="R24" i="3" s="1"/>
  <c r="P24" i="3"/>
  <c r="BF23" i="3"/>
  <c r="BE23" i="3"/>
  <c r="BD23" i="3"/>
  <c r="AL23" i="3"/>
  <c r="AA23" i="3"/>
  <c r="Z23" i="3"/>
  <c r="Z43" i="3" s="1"/>
  <c r="Z45" i="3" s="1"/>
  <c r="R23" i="3"/>
  <c r="Q23" i="3"/>
  <c r="P23" i="3"/>
  <c r="H23" i="3"/>
  <c r="F23" i="3"/>
  <c r="BF22" i="3"/>
  <c r="AU22" i="3"/>
  <c r="AT22" i="3"/>
  <c r="AT43" i="3" s="1"/>
  <c r="AT45" i="3" s="1"/>
  <c r="AL22" i="3"/>
  <c r="F22" i="3"/>
  <c r="H22" i="3" s="1"/>
  <c r="AV21" i="3"/>
  <c r="AU21" i="3"/>
  <c r="AU43" i="3" s="1"/>
  <c r="AU45" i="3" s="1"/>
  <c r="AL21" i="3"/>
  <c r="H21" i="3"/>
  <c r="G21" i="3"/>
  <c r="F21" i="3"/>
  <c r="AV20" i="3"/>
  <c r="AB20" i="3"/>
  <c r="P20" i="3"/>
  <c r="R20" i="3" s="1"/>
  <c r="G20" i="3"/>
  <c r="F20" i="3"/>
  <c r="H20" i="3" s="1"/>
  <c r="BD19" i="3"/>
  <c r="BF19" i="3" s="1"/>
  <c r="AV19" i="3"/>
  <c r="AA19" i="3"/>
  <c r="AB19" i="3" s="1"/>
  <c r="R19" i="3"/>
  <c r="P19" i="3"/>
  <c r="G19" i="3"/>
  <c r="H19" i="3" s="1"/>
  <c r="BE18" i="3"/>
  <c r="BF18" i="3" s="1"/>
  <c r="AB18" i="3"/>
  <c r="AA18" i="3"/>
  <c r="AA43" i="3" s="1"/>
  <c r="AA45" i="3" s="1"/>
  <c r="Q18" i="3"/>
  <c r="R18" i="3" s="1"/>
  <c r="P18" i="3"/>
  <c r="BF17" i="3"/>
  <c r="BE17" i="3"/>
  <c r="BD17" i="3"/>
  <c r="AL17" i="3"/>
  <c r="AB17" i="3"/>
  <c r="R17" i="3"/>
  <c r="BE16" i="3"/>
  <c r="BF16" i="3" s="1"/>
  <c r="BD16" i="3"/>
  <c r="AK16" i="3"/>
  <c r="AL16" i="3" s="1"/>
  <c r="AB16" i="3"/>
  <c r="R16" i="3"/>
  <c r="P16" i="3"/>
  <c r="G16" i="3"/>
  <c r="G43" i="3" s="1"/>
  <c r="BE15" i="3"/>
  <c r="BE47" i="3" s="1"/>
  <c r="BD15" i="3"/>
  <c r="BF15" i="3" s="1"/>
  <c r="AV15" i="3"/>
  <c r="AK15" i="3"/>
  <c r="AJ15" i="3"/>
  <c r="AJ47" i="3" s="1"/>
  <c r="F15" i="3"/>
  <c r="H15" i="3" s="1"/>
  <c r="AV14" i="3"/>
  <c r="AK14" i="3"/>
  <c r="AL14" i="3" s="1"/>
  <c r="F14" i="3"/>
  <c r="H14" i="3" s="1"/>
  <c r="AV13" i="3"/>
  <c r="AL13" i="3"/>
  <c r="AK13" i="3"/>
  <c r="AK43" i="3" s="1"/>
  <c r="AK45" i="3" s="1"/>
  <c r="AB13" i="3"/>
  <c r="R13" i="3"/>
  <c r="P13" i="3"/>
  <c r="H13" i="3"/>
  <c r="F13" i="3"/>
  <c r="F43" i="3" s="1"/>
  <c r="BF12" i="3"/>
  <c r="AV12" i="3"/>
  <c r="AB12" i="3"/>
  <c r="Q12" i="3"/>
  <c r="Q43" i="3" s="1"/>
  <c r="Q45" i="3" s="1"/>
  <c r="P12" i="3"/>
  <c r="R12" i="3" s="1"/>
  <c r="H12" i="3"/>
  <c r="BD11" i="3"/>
  <c r="BD47" i="3" s="1"/>
  <c r="AB11" i="3"/>
  <c r="R11" i="3"/>
  <c r="P11" i="3"/>
  <c r="P43" i="3" s="1"/>
  <c r="BC2" i="3"/>
  <c r="BC4" i="3" s="1"/>
  <c r="R43" i="3" l="1"/>
  <c r="P45" i="3"/>
  <c r="AL85" i="3"/>
  <c r="AL87" i="3" s="1"/>
  <c r="F45" i="3"/>
  <c r="BE2" i="3"/>
  <c r="BE4" i="3" s="1"/>
  <c r="G45" i="3"/>
  <c r="AV45" i="3"/>
  <c r="BA4" i="3"/>
  <c r="C45" i="3"/>
  <c r="AB23" i="3"/>
  <c r="AV22" i="3"/>
  <c r="H43" i="3"/>
  <c r="AB43" i="3"/>
  <c r="AB45" i="3" s="1"/>
  <c r="AV43" i="3"/>
  <c r="BD46" i="3"/>
  <c r="AK47" i="3"/>
  <c r="BE6" i="3" s="1"/>
  <c r="AR85" i="3"/>
  <c r="Z88" i="3"/>
  <c r="AK89" i="3"/>
  <c r="AA88" i="3"/>
  <c r="BB88" i="3"/>
  <c r="BB5" i="3" s="1"/>
  <c r="BE46" i="3"/>
  <c r="H57" i="3"/>
  <c r="F85" i="3"/>
  <c r="Z85" i="3"/>
  <c r="F88" i="3"/>
  <c r="AR89" i="3"/>
  <c r="BB6" i="3" s="1"/>
  <c r="G85" i="3"/>
  <c r="G87" i="3" s="1"/>
  <c r="AA85" i="3"/>
  <c r="AA87" i="3" s="1"/>
  <c r="AU85" i="3"/>
  <c r="AU87" i="3" s="1"/>
  <c r="G88" i="3"/>
  <c r="BD88" i="3"/>
  <c r="BF11" i="3"/>
  <c r="AJ43" i="3"/>
  <c r="BD2" i="3" s="1"/>
  <c r="BD4" i="3" s="1"/>
  <c r="BD43" i="3"/>
  <c r="AT47" i="3"/>
  <c r="BD6" i="3" s="1"/>
  <c r="BE88" i="3"/>
  <c r="AT89" i="3"/>
  <c r="N45" i="3"/>
  <c r="R45" i="3" s="1"/>
  <c r="AL15" i="3"/>
  <c r="BE43" i="3"/>
  <c r="BE45" i="3" s="1"/>
  <c r="AU47" i="3"/>
  <c r="AL55" i="3"/>
  <c r="AJ88" i="3"/>
  <c r="AU89" i="3"/>
  <c r="BB85" i="3"/>
  <c r="BB2" i="3" s="1"/>
  <c r="AK88" i="3"/>
  <c r="Z89" i="3"/>
  <c r="AT46" i="3"/>
  <c r="O87" i="3"/>
  <c r="AI87" i="3"/>
  <c r="AJ85" i="3"/>
  <c r="AJ87" i="3" s="1"/>
  <c r="BD85" i="3"/>
  <c r="BD87" i="3" s="1"/>
  <c r="BE85" i="3"/>
  <c r="BE87" i="3" s="1"/>
  <c r="BD89" i="3"/>
  <c r="AT84" i="3"/>
  <c r="AT85" i="3" s="1"/>
  <c r="AT87" i="3" s="1"/>
  <c r="AT88" i="3"/>
  <c r="H16" i="3"/>
  <c r="BB4" i="3" l="1"/>
  <c r="BF2" i="3"/>
  <c r="BF4" i="3" s="1"/>
  <c r="BD45" i="3"/>
  <c r="BF43" i="3"/>
  <c r="BF45" i="3" s="1"/>
  <c r="BD5" i="3"/>
  <c r="BE5" i="3"/>
  <c r="H45" i="3"/>
  <c r="AB85" i="3"/>
  <c r="AB87" i="3" s="1"/>
  <c r="Z87" i="3"/>
  <c r="BF85" i="3"/>
  <c r="BF87" i="3" s="1"/>
  <c r="BB87" i="3"/>
  <c r="H85" i="3"/>
  <c r="F87" i="3"/>
  <c r="H87" i="3" s="1"/>
  <c r="AL43" i="3"/>
  <c r="AJ45" i="3"/>
  <c r="AL45" i="3" s="1"/>
  <c r="AV85" i="3"/>
  <c r="AR87" i="3"/>
  <c r="AV87" i="3" s="1"/>
  <c r="P85" i="1" l="1"/>
  <c r="P82" i="1" l="1"/>
  <c r="P81" i="1" l="1"/>
  <c r="P80" i="1" l="1"/>
  <c r="P79" i="1" l="1"/>
  <c r="N79" i="1"/>
  <c r="P76" i="1" l="1"/>
  <c r="N76" i="1"/>
  <c r="P75" i="1" l="1"/>
  <c r="P74" i="1" l="1"/>
  <c r="P73" i="1" l="1"/>
  <c r="P72" i="1" l="1"/>
  <c r="M62" i="1" l="1"/>
  <c r="P54" i="1" l="1"/>
  <c r="F76" i="1" l="1"/>
  <c r="G69" i="1" l="1"/>
  <c r="G58" i="1"/>
  <c r="F56" i="1" l="1"/>
  <c r="F85" i="1" s="1"/>
  <c r="F87" i="1" s="1"/>
  <c r="G56" i="1"/>
  <c r="C56" i="1"/>
  <c r="C54" i="1" l="1"/>
  <c r="BE34" i="1" l="1"/>
  <c r="BE36" i="1"/>
  <c r="BE38" i="1"/>
  <c r="BE37" i="1" l="1"/>
  <c r="BD36" i="1" l="1"/>
  <c r="BB36" i="1"/>
  <c r="BD35" i="1" l="1"/>
  <c r="BB35" i="1" l="1"/>
  <c r="BD34" i="1" l="1"/>
  <c r="BB34" i="1" l="1"/>
  <c r="BE31" i="1" l="1"/>
  <c r="BD31" i="1"/>
  <c r="BE30" i="1" l="1"/>
  <c r="BD30" i="1"/>
  <c r="BD29" i="1" l="1"/>
  <c r="BD28" i="1"/>
  <c r="BD27" i="1" l="1"/>
  <c r="BE22" i="1" l="1"/>
  <c r="BD24" i="1" l="1"/>
  <c r="BE24" i="1"/>
  <c r="BB24" i="1"/>
  <c r="BE23" i="1" l="1"/>
  <c r="BD23" i="1" l="1"/>
  <c r="BD22" i="1" l="1"/>
  <c r="BD21" i="1" l="1"/>
  <c r="BE21" i="1"/>
  <c r="BE20" i="1"/>
  <c r="BD20" i="1" l="1"/>
  <c r="BE17" i="1" l="1"/>
  <c r="BE15" i="1" l="1"/>
  <c r="BD15" i="1" l="1"/>
  <c r="BB15" i="1"/>
  <c r="BD14" i="1" l="1"/>
  <c r="BE14" i="1"/>
  <c r="BB14" i="1"/>
  <c r="BE13" i="1" l="1"/>
  <c r="BD13" i="1"/>
  <c r="BB13" i="1"/>
  <c r="AU40" i="1" l="1"/>
  <c r="AJ35" i="1" l="1"/>
  <c r="AJ33" i="1"/>
  <c r="AJ26" i="1"/>
  <c r="AJ14" i="1"/>
  <c r="AJ12" i="1"/>
  <c r="AT38" i="1" l="1"/>
  <c r="AT37" i="1" l="1"/>
  <c r="AU37" i="1"/>
  <c r="AR37" i="1"/>
  <c r="AT34" i="1" l="1"/>
  <c r="AU32" i="1" l="1"/>
  <c r="AT32" i="1" l="1"/>
  <c r="AT31" i="1" l="1"/>
  <c r="AT27" i="1" l="1"/>
  <c r="AT26" i="1" l="1"/>
  <c r="AU26" i="1" l="1"/>
  <c r="AT25" i="1" l="1"/>
  <c r="AT24" i="1" l="1"/>
  <c r="AT23" i="1" l="1"/>
  <c r="AU23" i="1"/>
  <c r="AU17" i="1" l="1"/>
  <c r="AT17" i="1" l="1"/>
  <c r="AR17" i="1"/>
  <c r="AT16" i="1" l="1"/>
  <c r="AR16" i="1"/>
  <c r="AT12" i="1" l="1"/>
  <c r="AJ40" i="1" l="1"/>
  <c r="AK40" i="1"/>
  <c r="AH40" i="1"/>
  <c r="AK39" i="1" l="1"/>
  <c r="AJ39" i="1"/>
  <c r="AH39" i="1" l="1"/>
  <c r="AK36" i="1" l="1"/>
  <c r="AK35" i="1" l="1"/>
  <c r="AG35" i="1" l="1"/>
  <c r="AK34" i="1" l="1"/>
  <c r="AJ34" i="1"/>
  <c r="AK33" i="1" l="1"/>
  <c r="AJ32" i="1" l="1"/>
  <c r="AG32" i="1" l="1"/>
  <c r="AJ28" i="1" l="1"/>
  <c r="AJ29" i="1"/>
  <c r="AJ27" i="1" l="1"/>
  <c r="AK26" i="1" l="1"/>
  <c r="AH26" i="1"/>
  <c r="AJ22" i="1" l="1"/>
  <c r="AJ21" i="1"/>
  <c r="AJ25" i="1"/>
  <c r="AK20" i="1" l="1"/>
  <c r="AJ20" i="1"/>
  <c r="AJ19" i="1"/>
  <c r="AH19" i="1"/>
  <c r="AJ18" i="1" l="1"/>
  <c r="AK18" i="1" l="1"/>
  <c r="AH18" i="1"/>
  <c r="AK13" i="1" l="1"/>
  <c r="AJ13" i="1"/>
  <c r="AH13" i="1" l="1"/>
  <c r="AH12" i="1"/>
  <c r="Z38" i="1" l="1"/>
  <c r="AA38" i="1" l="1"/>
  <c r="Z37" i="1" l="1"/>
  <c r="Z36" i="1" l="1"/>
  <c r="Z35" i="1" l="1"/>
  <c r="AA36" i="1" l="1"/>
  <c r="AA35" i="1" l="1"/>
  <c r="AA30" i="1" l="1"/>
  <c r="Z25" i="1" l="1"/>
  <c r="AA24" i="1"/>
  <c r="Z24" i="1"/>
  <c r="Z23" i="1" l="1"/>
  <c r="Z22" i="1" l="1"/>
  <c r="Z21" i="1" l="1"/>
  <c r="AA21" i="1"/>
  <c r="Z18" i="1" l="1"/>
  <c r="Z17" i="1" l="1"/>
  <c r="X17" i="1" l="1"/>
  <c r="AA17" i="1"/>
  <c r="Z15" i="1" l="1"/>
  <c r="Z16" i="1" l="1"/>
  <c r="X16" i="1" l="1"/>
  <c r="AA15" i="1" l="1"/>
  <c r="Z14" i="1" l="1"/>
  <c r="P42" i="1" l="1"/>
  <c r="O43" i="1"/>
  <c r="P39" i="1" l="1"/>
  <c r="P32" i="1" l="1"/>
  <c r="P30" i="1"/>
  <c r="Q39" i="1"/>
  <c r="P38" i="1" l="1"/>
  <c r="P37" i="1" l="1"/>
  <c r="P36" i="1" l="1"/>
  <c r="P33" i="1" l="1"/>
  <c r="Q31" i="1" l="1"/>
  <c r="P31" i="1" l="1"/>
  <c r="P29" i="1" l="1"/>
  <c r="Q29" i="1" l="1"/>
  <c r="Q26" i="1" l="1"/>
  <c r="Q25" i="1" l="1"/>
  <c r="P25" i="1"/>
  <c r="P24" i="1" l="1"/>
  <c r="N24" i="1"/>
  <c r="Q24" i="1"/>
  <c r="P23" i="1" l="1"/>
  <c r="Q23" i="1"/>
  <c r="N23" i="1" l="1"/>
  <c r="N43" i="1" s="1"/>
  <c r="Q22" i="1" l="1"/>
  <c r="P22" i="1"/>
  <c r="P19" i="1" l="1"/>
  <c r="P18" i="1" l="1"/>
  <c r="P17" i="1" l="1"/>
  <c r="P16" i="1" l="1"/>
  <c r="Q16" i="1"/>
  <c r="P15" i="1" l="1"/>
  <c r="P12" i="1" l="1"/>
  <c r="P11" i="1" l="1"/>
  <c r="F19" i="1" l="1"/>
  <c r="F18" i="1"/>
  <c r="F27" i="1" l="1"/>
  <c r="F33" i="1"/>
  <c r="F34" i="1"/>
  <c r="F41" i="1" l="1"/>
  <c r="G41" i="1" l="1"/>
  <c r="G36" i="1"/>
  <c r="F40" i="1" l="1"/>
  <c r="G39" i="1" l="1"/>
  <c r="F39" i="1" l="1"/>
  <c r="G35" i="1" l="1"/>
  <c r="G34" i="1" l="1"/>
  <c r="D33" i="1"/>
  <c r="D32" i="1" l="1"/>
  <c r="F32" i="1"/>
  <c r="G32" i="1" l="1"/>
  <c r="F26" i="1" l="1"/>
  <c r="G27" i="1"/>
  <c r="D27" i="1"/>
  <c r="F25" i="1" l="1"/>
  <c r="D25" i="1"/>
  <c r="G26" i="1"/>
  <c r="D26" i="1"/>
  <c r="G25" i="1" l="1"/>
  <c r="G22" i="1" l="1"/>
  <c r="F22" i="1"/>
  <c r="F21" i="1" l="1"/>
  <c r="G21" i="1" l="1"/>
  <c r="F20" i="1" l="1"/>
  <c r="G20" i="1" l="1"/>
  <c r="G19" i="1" l="1"/>
  <c r="G43" i="1" s="1"/>
  <c r="R67" i="1" l="1"/>
  <c r="AL67" i="1"/>
  <c r="AV67" i="1"/>
  <c r="AV37" i="1"/>
  <c r="AV38" i="1"/>
  <c r="AV39" i="1"/>
  <c r="AV40" i="1"/>
  <c r="AV20" i="1"/>
  <c r="AB62" i="1"/>
  <c r="AB69" i="1"/>
  <c r="AB70" i="1"/>
  <c r="AB55" i="1"/>
  <c r="AB56" i="1"/>
  <c r="AB57" i="1"/>
  <c r="AB58" i="1"/>
  <c r="AB59" i="1"/>
  <c r="AB63" i="1"/>
  <c r="AB64" i="1"/>
  <c r="AB65" i="1"/>
  <c r="AB66" i="1"/>
  <c r="AB71" i="1"/>
  <c r="AB72" i="1"/>
  <c r="AB76" i="1"/>
  <c r="AB77" i="1"/>
  <c r="AB78" i="1"/>
  <c r="AB79" i="1"/>
  <c r="AL81" i="1"/>
  <c r="AL82" i="1"/>
  <c r="AL74" i="1"/>
  <c r="AL75" i="1"/>
  <c r="AL76" i="1"/>
  <c r="AL77" i="1"/>
  <c r="AL68" i="1"/>
  <c r="AL69" i="1"/>
  <c r="AL70" i="1"/>
  <c r="AL60" i="1"/>
  <c r="AL61" i="1"/>
  <c r="AL62" i="1"/>
  <c r="AL63" i="1"/>
  <c r="AL54" i="1"/>
  <c r="AV57" i="1"/>
  <c r="AV58" i="1"/>
  <c r="AV59" i="1"/>
  <c r="AV60" i="1"/>
  <c r="AV65" i="1"/>
  <c r="AV66" i="1"/>
  <c r="AV71" i="1"/>
  <c r="AV72" i="1"/>
  <c r="AV73" i="1"/>
  <c r="AV74" i="1"/>
  <c r="AV78" i="1"/>
  <c r="AV79" i="1"/>
  <c r="BF76" i="1"/>
  <c r="BF77" i="1"/>
  <c r="BF72" i="1"/>
  <c r="BF73" i="1"/>
  <c r="BF70" i="1"/>
  <c r="BF62" i="1"/>
  <c r="BF63" i="1"/>
  <c r="BF55" i="1"/>
  <c r="BF56" i="1"/>
  <c r="AB39" i="1"/>
  <c r="H69" i="1" l="1"/>
  <c r="H68" i="1"/>
  <c r="H83" i="1"/>
  <c r="H82" i="1"/>
  <c r="H79" i="1"/>
  <c r="H78" i="1"/>
  <c r="H77" i="1"/>
  <c r="H76" i="1"/>
  <c r="H75" i="1"/>
  <c r="R79" i="1"/>
  <c r="R83" i="1"/>
  <c r="R82" i="1"/>
  <c r="R81" i="1"/>
  <c r="R80" i="1"/>
  <c r="R76" i="1"/>
  <c r="R75" i="1"/>
  <c r="R74" i="1"/>
  <c r="R73" i="1"/>
  <c r="R72" i="1"/>
  <c r="R66" i="1"/>
  <c r="R65" i="1"/>
  <c r="R62" i="1"/>
  <c r="R61" i="1"/>
  <c r="R60" i="1"/>
  <c r="R59" i="1"/>
  <c r="R58" i="1"/>
  <c r="H65" i="1"/>
  <c r="H64" i="1"/>
  <c r="H63" i="1"/>
  <c r="H62" i="1"/>
  <c r="H61" i="1"/>
  <c r="H57" i="1"/>
  <c r="H56" i="1"/>
  <c r="H55" i="1"/>
  <c r="H54" i="1"/>
  <c r="BF38" i="1"/>
  <c r="BF37" i="1"/>
  <c r="BF36" i="1"/>
  <c r="BF35" i="1"/>
  <c r="BF34" i="1"/>
  <c r="BF31" i="1"/>
  <c r="BF30" i="1"/>
  <c r="BF29" i="1"/>
  <c r="BF28" i="1"/>
  <c r="BF27" i="1"/>
  <c r="BF24" i="1"/>
  <c r="BF23" i="1"/>
  <c r="BF22" i="1"/>
  <c r="BF21" i="1"/>
  <c r="BF20" i="1"/>
  <c r="BF17" i="1"/>
  <c r="BF16" i="1"/>
  <c r="BF15" i="1"/>
  <c r="BF14" i="1"/>
  <c r="BF13" i="1"/>
  <c r="AV34" i="1"/>
  <c r="AV33" i="1"/>
  <c r="AV32" i="1"/>
  <c r="AV31" i="1"/>
  <c r="AV23" i="1"/>
  <c r="AV24" i="1"/>
  <c r="AV17" i="1"/>
  <c r="AV16" i="1"/>
  <c r="AL40" i="1"/>
  <c r="AL39" i="1"/>
  <c r="AL36" i="1"/>
  <c r="AL35" i="1"/>
  <c r="AL34" i="1"/>
  <c r="AL33" i="1"/>
  <c r="AL32" i="1"/>
  <c r="AL29" i="1"/>
  <c r="AL28" i="1"/>
  <c r="AL27" i="1"/>
  <c r="AL26" i="1"/>
  <c r="AL25" i="1"/>
  <c r="AL22" i="1"/>
  <c r="AL21" i="1"/>
  <c r="AL20" i="1"/>
  <c r="AL19" i="1"/>
  <c r="AL18" i="1"/>
  <c r="AL12" i="1"/>
  <c r="AL13" i="1"/>
  <c r="AB36" i="1"/>
  <c r="AB35" i="1"/>
  <c r="AB29" i="1"/>
  <c r="AB28" i="1"/>
  <c r="AB23" i="1"/>
  <c r="AB22" i="1"/>
  <c r="AB21" i="1"/>
  <c r="AB15" i="1"/>
  <c r="AB14" i="1"/>
  <c r="F14" i="1" l="1"/>
  <c r="R36" i="1" l="1"/>
  <c r="R29" i="1"/>
  <c r="R22" i="1"/>
  <c r="R15" i="1"/>
  <c r="H12" i="1"/>
  <c r="H39" i="1"/>
  <c r="H32" i="1"/>
  <c r="H33" i="1"/>
  <c r="H26" i="1"/>
  <c r="H25" i="1"/>
  <c r="H18" i="1"/>
  <c r="R39" i="1"/>
  <c r="BD85" i="1" l="1"/>
  <c r="BE85" i="1"/>
  <c r="BA85" i="1" l="1"/>
  <c r="BA87" i="1" s="1"/>
  <c r="AQ87" i="1" l="1"/>
  <c r="AT87" i="1" l="1"/>
  <c r="AJ90" i="1"/>
  <c r="AL83" i="1"/>
  <c r="AL56" i="1" l="1"/>
  <c r="W85" i="1" l="1"/>
  <c r="AL85" i="1" l="1"/>
  <c r="N85" i="1" l="1"/>
  <c r="P89" i="1" l="1"/>
  <c r="G89" i="1"/>
  <c r="Q85" i="1"/>
  <c r="Q87" i="1" s="1"/>
  <c r="P87" i="1"/>
  <c r="O85" i="1"/>
  <c r="O87" i="1" s="1"/>
  <c r="N87" i="1"/>
  <c r="M85" i="1"/>
  <c r="R55" i="1"/>
  <c r="R54" i="1"/>
  <c r="C89" i="1"/>
  <c r="C85" i="1"/>
  <c r="C87" i="1" s="1"/>
  <c r="E85" i="1"/>
  <c r="E87" i="1" s="1"/>
  <c r="H84" i="1"/>
  <c r="G85" i="1"/>
  <c r="G87" i="1" s="1"/>
  <c r="F89" i="1"/>
  <c r="R85" i="1" l="1"/>
  <c r="R87" i="1" s="1"/>
  <c r="M87" i="1"/>
  <c r="BC43" i="1" l="1"/>
  <c r="BB43" i="1"/>
  <c r="BB45" i="1" s="1"/>
  <c r="BA43" i="1"/>
  <c r="BA45" i="1" s="1"/>
  <c r="BA47" i="1" l="1"/>
  <c r="BE43" i="1" l="1"/>
  <c r="BE45" i="1" s="1"/>
  <c r="BD43" i="1" l="1"/>
  <c r="BF43" i="1" s="1"/>
  <c r="AQ43" i="1" l="1"/>
  <c r="AQ45" i="1" s="1"/>
  <c r="AR43" i="1"/>
  <c r="AR45" i="1" s="1"/>
  <c r="AS43" i="1"/>
  <c r="AS45" i="1" s="1"/>
  <c r="AV13" i="1"/>
  <c r="AV12" i="1"/>
  <c r="BC45" i="1" l="1"/>
  <c r="BD45" i="1"/>
  <c r="AI43" i="1"/>
  <c r="AI45" i="1" s="1"/>
  <c r="AH43" i="1"/>
  <c r="AH45" i="1" s="1"/>
  <c r="AG43" i="1"/>
  <c r="AG45" i="1" s="1"/>
  <c r="Y43" i="1"/>
  <c r="Y45" i="1" s="1"/>
  <c r="X43" i="1"/>
  <c r="X45" i="1" s="1"/>
  <c r="W43" i="1"/>
  <c r="M43" i="1"/>
  <c r="C43" i="1"/>
  <c r="D43" i="1"/>
  <c r="E43" i="1"/>
  <c r="H34" i="1"/>
  <c r="W45" i="1" l="1"/>
  <c r="BF45" i="1"/>
  <c r="AV27" i="1" l="1"/>
  <c r="AV26" i="1" l="1"/>
  <c r="AV25" i="1"/>
  <c r="AT43" i="1" l="1"/>
  <c r="AT45" i="1" s="1"/>
  <c r="AU43" i="1" l="1"/>
  <c r="AU45" i="1" s="1"/>
  <c r="AV45" i="1" s="1"/>
  <c r="AV43" i="1" l="1"/>
  <c r="AJ43" i="1" l="1"/>
  <c r="AJ45" i="1" s="1"/>
  <c r="AL15" i="1" l="1"/>
  <c r="AL14" i="1"/>
  <c r="AK43" i="1" l="1"/>
  <c r="AL43" i="1" l="1"/>
  <c r="AK45" i="1"/>
  <c r="AL45" i="1" s="1"/>
  <c r="Z43" i="1" l="1"/>
  <c r="Z45" i="1" l="1"/>
  <c r="AA43" i="1" l="1"/>
  <c r="AA45" i="1" l="1"/>
  <c r="AB43" i="1"/>
  <c r="AB16" i="1" l="1"/>
  <c r="AB17" i="1"/>
  <c r="AB30" i="1"/>
  <c r="AB37" i="1"/>
  <c r="BC46" i="1" l="1"/>
  <c r="BD46" i="1"/>
  <c r="BE46" i="1"/>
  <c r="AS46" i="1"/>
  <c r="AT46" i="1"/>
  <c r="AU46" i="1"/>
  <c r="BC89" i="1"/>
  <c r="BD89" i="1"/>
  <c r="BE89" i="1"/>
  <c r="BC88" i="1"/>
  <c r="BD88" i="1"/>
  <c r="BE88" i="1"/>
  <c r="AS89" i="1"/>
  <c r="AT89" i="1"/>
  <c r="AU89" i="1"/>
  <c r="AS88" i="1"/>
  <c r="AT88" i="1"/>
  <c r="AU88" i="1"/>
  <c r="AI89" i="1"/>
  <c r="AJ89" i="1"/>
  <c r="AK89" i="1"/>
  <c r="AI88" i="1"/>
  <c r="AJ88" i="1"/>
  <c r="AK88" i="1"/>
  <c r="Y88" i="1"/>
  <c r="Z88" i="1"/>
  <c r="AA88" i="1"/>
  <c r="Y89" i="1"/>
  <c r="Z89" i="1"/>
  <c r="AA89" i="1"/>
  <c r="O89" i="1"/>
  <c r="Q89" i="1"/>
  <c r="E89" i="1"/>
  <c r="N88" i="1"/>
  <c r="O88" i="1"/>
  <c r="P88" i="1"/>
  <c r="Q88" i="1"/>
  <c r="E88" i="1"/>
  <c r="F88" i="1"/>
  <c r="G88" i="1"/>
  <c r="BF64" i="1"/>
  <c r="BF71" i="1"/>
  <c r="BD87" i="1"/>
  <c r="BE87" i="1"/>
  <c r="AL84" i="1"/>
  <c r="AV80" i="1"/>
  <c r="BF57" i="1"/>
  <c r="BF58" i="1"/>
  <c r="Z85" i="1"/>
  <c r="Z87" i="1" s="1"/>
  <c r="AA85" i="1"/>
  <c r="AA87" i="1" s="1"/>
  <c r="AU87" i="1"/>
  <c r="AK87" i="1"/>
  <c r="AL55" i="1"/>
  <c r="AJ87" i="1" l="1"/>
  <c r="AL87" i="1"/>
  <c r="H70" i="1"/>
  <c r="D85" i="1"/>
  <c r="D87" i="1" s="1"/>
  <c r="H87" i="1" s="1"/>
  <c r="BB47" i="1"/>
  <c r="BC47" i="1"/>
  <c r="BD47" i="1"/>
  <c r="BE47" i="1"/>
  <c r="AS47" i="1"/>
  <c r="AT47" i="1"/>
  <c r="AU47" i="1"/>
  <c r="AI47" i="1"/>
  <c r="AJ47" i="1"/>
  <c r="AK47" i="1"/>
  <c r="R37" i="1"/>
  <c r="R30" i="1"/>
  <c r="R23" i="1"/>
  <c r="D45" i="1"/>
  <c r="E45" i="1"/>
  <c r="C45" i="1"/>
  <c r="H85" i="1" l="1"/>
  <c r="R16" i="1"/>
  <c r="H40" i="1"/>
  <c r="H35" i="1"/>
  <c r="H22" i="1"/>
  <c r="H19" i="1"/>
  <c r="H29" i="1"/>
  <c r="H41" i="1"/>
  <c r="P43" i="1" l="1"/>
  <c r="P45" i="1" s="1"/>
  <c r="F43" i="1"/>
  <c r="F45" i="1" s="1"/>
  <c r="H13" i="1"/>
  <c r="H36" i="1"/>
  <c r="H28" i="1"/>
  <c r="H27" i="1"/>
  <c r="H21" i="1"/>
  <c r="H20" i="1"/>
  <c r="Q43" i="1" l="1"/>
  <c r="R43" i="1" s="1"/>
  <c r="H43" i="1" l="1"/>
  <c r="Q45" i="1"/>
  <c r="BC6" i="1"/>
  <c r="BD6" i="1"/>
  <c r="BE6" i="1"/>
  <c r="BC5" i="1"/>
  <c r="BD5" i="1"/>
  <c r="BE5" i="1"/>
  <c r="BD2" i="1"/>
  <c r="BF79" i="1"/>
  <c r="BF65" i="1"/>
  <c r="BF80" i="1"/>
  <c r="BF81" i="1"/>
  <c r="BF82" i="1"/>
  <c r="BF59" i="1"/>
  <c r="BF66" i="1"/>
  <c r="BF69" i="1"/>
  <c r="AV82" i="1"/>
  <c r="AV81" i="1"/>
  <c r="AV75" i="1"/>
  <c r="AV68" i="1"/>
  <c r="AV61" i="1"/>
  <c r="AV41" i="1"/>
  <c r="AL71" i="1"/>
  <c r="AL64" i="1"/>
  <c r="AL57" i="1"/>
  <c r="AB73" i="1"/>
  <c r="AB80" i="1"/>
  <c r="AB18" i="1"/>
  <c r="AB24" i="1"/>
  <c r="AB25" i="1"/>
  <c r="AB31" i="1"/>
  <c r="AB32" i="1"/>
  <c r="AB38" i="1"/>
  <c r="AB11" i="1"/>
  <c r="R12" i="1"/>
  <c r="R17" i="1"/>
  <c r="R18" i="1"/>
  <c r="R19" i="1"/>
  <c r="R24" i="1"/>
  <c r="R25" i="1"/>
  <c r="R26" i="1"/>
  <c r="R31" i="1"/>
  <c r="R32" i="1"/>
  <c r="R33" i="1"/>
  <c r="R38" i="1"/>
  <c r="R11" i="1"/>
  <c r="H71" i="1"/>
  <c r="H72" i="1"/>
  <c r="H58" i="1"/>
  <c r="H15" i="1"/>
  <c r="H14" i="1"/>
  <c r="BE2" i="1" l="1"/>
  <c r="G45" i="1"/>
  <c r="H45" i="1" s="1"/>
  <c r="BA2" i="1"/>
  <c r="O45" i="1" l="1"/>
  <c r="BC85" i="1" l="1"/>
  <c r="BC87" i="1" s="1"/>
  <c r="AS87" i="1"/>
  <c r="AI87" i="1"/>
  <c r="Y85" i="1"/>
  <c r="Y87" i="1" s="1"/>
  <c r="AR87" i="1" l="1"/>
  <c r="AV87" i="1" s="1"/>
  <c r="AV85" i="1"/>
  <c r="BC2" i="1"/>
  <c r="BB89" i="1"/>
  <c r="BA89" i="1"/>
  <c r="AR89" i="1"/>
  <c r="AQ89" i="1"/>
  <c r="AH89" i="1"/>
  <c r="AG89" i="1"/>
  <c r="X89" i="1"/>
  <c r="W89" i="1"/>
  <c r="N89" i="1"/>
  <c r="M89" i="1"/>
  <c r="D89" i="1"/>
  <c r="BB88" i="1"/>
  <c r="BA88" i="1"/>
  <c r="AR88" i="1"/>
  <c r="AQ88" i="1"/>
  <c r="AH88" i="1"/>
  <c r="AG88" i="1"/>
  <c r="X88" i="1"/>
  <c r="W88" i="1"/>
  <c r="M88" i="1"/>
  <c r="D88" i="1"/>
  <c r="C88" i="1"/>
  <c r="BB85" i="1"/>
  <c r="X85" i="1"/>
  <c r="AR47" i="1"/>
  <c r="AQ47" i="1"/>
  <c r="AH47" i="1"/>
  <c r="AG47" i="1"/>
  <c r="X47" i="1"/>
  <c r="W47" i="1"/>
  <c r="N47" i="1"/>
  <c r="M47" i="1"/>
  <c r="D47" i="1"/>
  <c r="C47" i="1"/>
  <c r="BB46" i="1"/>
  <c r="BA46" i="1"/>
  <c r="AR46" i="1"/>
  <c r="AQ46" i="1"/>
  <c r="AH46" i="1"/>
  <c r="AG46" i="1"/>
  <c r="X46" i="1"/>
  <c r="W46" i="1"/>
  <c r="N46" i="1"/>
  <c r="M46" i="1"/>
  <c r="D46" i="1"/>
  <c r="C46" i="1"/>
  <c r="BA3" i="1"/>
  <c r="BB87" i="1" l="1"/>
  <c r="BF85" i="1"/>
  <c r="BA6" i="1"/>
  <c r="BA5" i="1"/>
  <c r="M45" i="1"/>
  <c r="N45" i="1"/>
  <c r="AB85" i="1"/>
  <c r="AB87" i="1" s="1"/>
  <c r="AB45" i="1"/>
  <c r="BB2" i="1"/>
  <c r="BF2" i="1" s="1"/>
  <c r="BF4" i="1" s="1"/>
  <c r="AG87" i="1"/>
  <c r="W87" i="1"/>
  <c r="X87" i="1"/>
  <c r="AH87" i="1"/>
  <c r="BB5" i="1"/>
  <c r="BB6" i="1"/>
  <c r="R45" i="1" l="1"/>
  <c r="BB4" i="1"/>
  <c r="BF87" i="1"/>
  <c r="BA4" i="1"/>
  <c r="BE4" i="1"/>
  <c r="BD4" i="1"/>
  <c r="BC4" i="1"/>
</calcChain>
</file>

<file path=xl/sharedStrings.xml><?xml version="1.0" encoding="utf-8"?>
<sst xmlns="http://schemas.openxmlformats.org/spreadsheetml/2006/main" count="1088" uniqueCount="66">
  <si>
    <t>FREQ_° ANNÉE</t>
  </si>
  <si>
    <t>JOURS OUVRES</t>
  </si>
  <si>
    <t>Congés scolaires Zone C</t>
  </si>
  <si>
    <t>MOYENNE JOUR</t>
  </si>
  <si>
    <t>Nbre Jours &gt; 1 350/Nbre Jours &gt;  1 450</t>
  </si>
  <si>
    <t>Vacances scolaires :</t>
  </si>
  <si>
    <t>Zone A</t>
  </si>
  <si>
    <t>Zone B</t>
  </si>
  <si>
    <t>Zone C</t>
  </si>
  <si>
    <t>Nbre Jours &lt; 1 350/Nbre Jours &lt; 1 450</t>
  </si>
  <si>
    <t>Jour Mois</t>
  </si>
  <si>
    <t>Janvier</t>
  </si>
  <si>
    <t>Février</t>
  </si>
  <si>
    <t>Mars</t>
  </si>
  <si>
    <t>Avril</t>
  </si>
  <si>
    <t>Mai</t>
  </si>
  <si>
    <t>Juin</t>
  </si>
  <si>
    <t>Juillet</t>
  </si>
  <si>
    <t>Jour Semaine</t>
  </si>
  <si>
    <t>Couverts</t>
  </si>
  <si>
    <t>AS</t>
  </si>
  <si>
    <t>TS</t>
  </si>
  <si>
    <t>CUMUL</t>
  </si>
  <si>
    <t>1er</t>
  </si>
  <si>
    <t>vendredi</t>
  </si>
  <si>
    <t>Jour de l’an</t>
  </si>
  <si>
    <t>lundi</t>
  </si>
  <si>
    <t>jeudi</t>
  </si>
  <si>
    <t>samedi</t>
  </si>
  <si>
    <t>Fête du travail</t>
  </si>
  <si>
    <t>mardi</t>
  </si>
  <si>
    <t>dimanche</t>
  </si>
  <si>
    <t>mercredi</t>
  </si>
  <si>
    <t>Victoire 1945</t>
  </si>
  <si>
    <t>FREQ_° MOIS</t>
  </si>
  <si>
    <t>Jours &gt; 1 350/1 450</t>
  </si>
  <si>
    <t>Jours &lt; 1 350/1 450</t>
  </si>
  <si>
    <t>·</t>
  </si>
  <si>
    <t>Août</t>
  </si>
  <si>
    <t>Septembre</t>
  </si>
  <si>
    <t>Octobre</t>
  </si>
  <si>
    <t>Novembre</t>
  </si>
  <si>
    <t>Décembre</t>
  </si>
  <si>
    <t>Toussaint</t>
  </si>
  <si>
    <t>Armistice 1918</t>
  </si>
  <si>
    <t>Noël</t>
  </si>
  <si>
    <t>SG</t>
  </si>
  <si>
    <t>Restauration des Sites de La Défense et Saint-Germain</t>
  </si>
  <si>
    <t>Fête nationale</t>
  </si>
  <si>
    <t xml:space="preserve">               Ascension</t>
  </si>
  <si>
    <t xml:space="preserve"> </t>
  </si>
  <si>
    <t>FERME</t>
  </si>
  <si>
    <t>1/2 admis</t>
  </si>
  <si>
    <t>Tickets</t>
  </si>
  <si>
    <t>Mardi</t>
  </si>
  <si>
    <t xml:space="preserve">            Pentecôte</t>
  </si>
  <si>
    <t>Assomption</t>
  </si>
  <si>
    <t>JOUS OUVRES</t>
  </si>
  <si>
    <t>Fermeture administration</t>
  </si>
  <si>
    <t>Fréquentations des SELFS ARCHE – TOUR SÉQUOIA – SAINT-GERMAIN-ANNÉE 2024</t>
  </si>
  <si>
    <t>Pâques</t>
  </si>
  <si>
    <t>CSI</t>
  </si>
  <si>
    <t>Fréquentations des SELFS ARCHE – TOUR SÉQUOIA – SAINT-GERMAIN-ANNÉE 2023</t>
  </si>
  <si>
    <t>Lundi de Pâques</t>
  </si>
  <si>
    <t>Fermeture de l'administration centrale</t>
  </si>
  <si>
    <t>fermeture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</si>
</sst>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&quot; &quot;;[Red]&quot;-&quot;0&quot; &quot;"/>
    <numFmt numFmtId="165" formatCode="d&quot; &quot;mmmm&quot; &quot;yyyy"/>
    <numFmt numFmtId="166" formatCode="#,##0.00&quot; &quot;[$€-40C];[Red]&quot;-&quot;#,##0.00&quot; &quot;[$€-40C]"/>
    <numFmt numFmtId="167" formatCode="0.0"/>
    <numFmt numFmtId="168" formatCode="0.0;[Red]0.0"/>
    <numFmt numFmtId="169" formatCode="_-* #,##0.0_-;\-* #,##0.0_-;_-* &quot;-&quot;??_-;_-@_-"/>
  </numFmts>
  <fonts count="26" x14ac:knownFonts="1">
    <font>
      <sz val="11"/>
      <color rgb="FF000000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6"/>
      <color rgb="FF000000"/>
      <name val="Calibri Light"/>
      <family val="2"/>
    </font>
    <font>
      <b/>
      <sz val="6"/>
      <color rgb="FF000000"/>
      <name val="Calibri Light"/>
      <family val="2"/>
    </font>
    <font>
      <b/>
      <i/>
      <sz val="6"/>
      <color rgb="FF000000"/>
      <name val="Calibri Light"/>
      <family val="2"/>
    </font>
    <font>
      <i/>
      <sz val="6"/>
      <color rgb="FF000000"/>
      <name val="Calibri Light"/>
      <family val="2"/>
    </font>
    <font>
      <b/>
      <sz val="6"/>
      <color rgb="FFFFFFFF"/>
      <name val="Calibri Light"/>
      <family val="2"/>
    </font>
    <font>
      <sz val="6"/>
      <color rgb="FFFFFFFF"/>
      <name val="Calibri Light"/>
      <family val="2"/>
    </font>
    <font>
      <sz val="6"/>
      <color rgb="FF339966"/>
      <name val="Calibri Light"/>
      <family val="2"/>
    </font>
    <font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rgb="FFFFFF00"/>
      <name val="Arial"/>
      <family val="2"/>
    </font>
    <font>
      <sz val="10"/>
      <name val="Arial"/>
      <family val="2"/>
    </font>
    <font>
      <sz val="11"/>
      <color rgb="FFFFFFFF"/>
      <name val="Arial"/>
      <family val="2"/>
    </font>
    <font>
      <sz val="11"/>
      <color rgb="FFFF0000"/>
      <name val="Arial"/>
      <family val="2"/>
    </font>
    <font>
      <b/>
      <sz val="10"/>
      <color rgb="FF00000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FF0000"/>
      <name val="Arial"/>
      <family val="2"/>
    </font>
    <font>
      <sz val="6"/>
      <color rgb="FFFF0000"/>
      <name val="Calibri Light"/>
      <family val="2"/>
    </font>
    <font>
      <sz val="11"/>
      <color rgb="FF00000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B3B3B3"/>
        <bgColor rgb="FFB3B3B3"/>
      </patternFill>
    </fill>
    <fill>
      <patternFill patternType="solid">
        <fgColor rgb="FFFF6600"/>
        <bgColor rgb="FFFF6600"/>
      </patternFill>
    </fill>
    <fill>
      <patternFill patternType="solid">
        <fgColor rgb="FF3366FF"/>
        <bgColor rgb="FF3366FF"/>
      </patternFill>
    </fill>
    <fill>
      <patternFill patternType="solid">
        <fgColor rgb="FF00FF00"/>
        <bgColor rgb="FF00FF00"/>
      </patternFill>
    </fill>
    <fill>
      <patternFill patternType="solid">
        <fgColor rgb="FF33CC66"/>
        <bgColor rgb="FF33CC66"/>
      </patternFill>
    </fill>
    <fill>
      <patternFill patternType="solid">
        <fgColor rgb="FF33FF99"/>
        <bgColor rgb="FF33FF99"/>
      </patternFill>
    </fill>
    <fill>
      <patternFill patternType="solid">
        <fgColor rgb="FFC0C0C0"/>
        <bgColor rgb="FFC0C0C0"/>
      </patternFill>
    </fill>
    <fill>
      <patternFill patternType="solid">
        <fgColor theme="0"/>
        <bgColor rgb="FF33FF9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rgb="FF33FF99"/>
      </patternFill>
    </fill>
    <fill>
      <patternFill patternType="solid">
        <fgColor rgb="FFFF0000"/>
        <bgColor indexed="64"/>
      </patternFill>
    </fill>
    <fill>
      <patternFill patternType="solid">
        <fgColor rgb="FF41DF81"/>
        <bgColor rgb="FF33FF99"/>
      </patternFill>
    </fill>
    <fill>
      <patternFill patternType="solid">
        <fgColor rgb="FF41DF8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33FF99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6" fontId="2" fillId="0" borderId="0" applyBorder="0" applyProtection="0"/>
    <xf numFmtId="43" fontId="25" fillId="0" borderId="0" applyFont="0" applyFill="0" applyBorder="0" applyAlignment="0" applyProtection="0"/>
  </cellStyleXfs>
  <cellXfs count="403">
    <xf numFmtId="0" fontId="0" fillId="0" borderId="0" xfId="0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167" fontId="3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67" fontId="4" fillId="0" borderId="0" xfId="0" applyNumberFormat="1" applyFont="1" applyAlignment="1">
      <alignment horizontal="center"/>
    </xf>
    <xf numFmtId="3" fontId="3" fillId="0" borderId="2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167" fontId="5" fillId="0" borderId="0" xfId="0" applyNumberFormat="1" applyFont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4" fontId="6" fillId="0" borderId="2" xfId="0" applyNumberFormat="1" applyFont="1" applyBorder="1" applyAlignment="1">
      <alignment horizontal="right" vertical="center"/>
    </xf>
    <xf numFmtId="168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" fontId="3" fillId="0" borderId="0" xfId="0" applyNumberFormat="1" applyFont="1" applyAlignment="1">
      <alignment horizontal="left"/>
    </xf>
    <xf numFmtId="1" fontId="5" fillId="0" borderId="0" xfId="0" applyNumberFormat="1" applyFont="1" applyAlignment="1">
      <alignment horizontal="center"/>
    </xf>
    <xf numFmtId="0" fontId="3" fillId="0" borderId="0" xfId="0" applyFont="1" applyAlignment="1">
      <alignment vertical="center"/>
    </xf>
    <xf numFmtId="0" fontId="7" fillId="8" borderId="3" xfId="0" applyFont="1" applyFill="1" applyBorder="1" applyAlignment="1">
      <alignment horizontal="center" vertical="center"/>
    </xf>
    <xf numFmtId="0" fontId="7" fillId="8" borderId="3" xfId="0" applyFont="1" applyFill="1" applyBorder="1" applyAlignment="1">
      <alignment horizontal="right" vertical="center"/>
    </xf>
    <xf numFmtId="0" fontId="7" fillId="8" borderId="1" xfId="0" applyFont="1" applyFill="1" applyBorder="1" applyAlignment="1">
      <alignment horizontal="right" vertical="center"/>
    </xf>
    <xf numFmtId="0" fontId="7" fillId="8" borderId="1" xfId="0" applyFont="1" applyFill="1" applyBorder="1" applyAlignment="1">
      <alignment horizontal="center" vertical="center"/>
    </xf>
    <xf numFmtId="167" fontId="7" fillId="8" borderId="1" xfId="0" applyNumberFormat="1" applyFont="1" applyFill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/>
    </xf>
    <xf numFmtId="0" fontId="3" fillId="9" borderId="4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/>
    </xf>
    <xf numFmtId="0" fontId="3" fillId="14" borderId="0" xfId="0" applyFont="1" applyFill="1"/>
    <xf numFmtId="0" fontId="3" fillId="9" borderId="3" xfId="0" applyFont="1" applyFill="1" applyBorder="1" applyAlignment="1">
      <alignment horizontal="center"/>
    </xf>
    <xf numFmtId="0" fontId="3" fillId="9" borderId="1" xfId="0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167" fontId="3" fillId="9" borderId="3" xfId="0" applyNumberFormat="1" applyFont="1" applyFill="1" applyBorder="1" applyAlignment="1">
      <alignment horizontal="right"/>
    </xf>
    <xf numFmtId="164" fontId="3" fillId="0" borderId="3" xfId="0" applyNumberFormat="1" applyFont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64" fontId="4" fillId="0" borderId="3" xfId="0" applyNumberFormat="1" applyFont="1" applyBorder="1" applyAlignment="1">
      <alignment horizontal="center" vertical="center"/>
    </xf>
    <xf numFmtId="167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164" fontId="3" fillId="9" borderId="3" xfId="0" applyNumberFormat="1" applyFont="1" applyFill="1" applyBorder="1" applyAlignment="1">
      <alignment horizontal="center"/>
    </xf>
    <xf numFmtId="164" fontId="3" fillId="9" borderId="3" xfId="0" applyNumberFormat="1" applyFont="1" applyFill="1" applyBorder="1" applyAlignment="1">
      <alignment horizontal="center" wrapText="1"/>
    </xf>
    <xf numFmtId="0" fontId="3" fillId="0" borderId="9" xfId="0" applyFont="1" applyBorder="1" applyAlignment="1">
      <alignment horizontal="center"/>
    </xf>
    <xf numFmtId="165" fontId="9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right"/>
    </xf>
    <xf numFmtId="164" fontId="10" fillId="0" borderId="3" xfId="0" applyNumberFormat="1" applyFont="1" applyBorder="1"/>
    <xf numFmtId="164" fontId="11" fillId="0" borderId="5" xfId="0" applyNumberFormat="1" applyFont="1" applyBorder="1" applyAlignment="1">
      <alignment horizontal="center"/>
    </xf>
    <xf numFmtId="164" fontId="11" fillId="0" borderId="6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0" xfId="0" applyFont="1"/>
    <xf numFmtId="0" fontId="10" fillId="9" borderId="4" xfId="0" applyFont="1" applyFill="1" applyBorder="1" applyAlignment="1">
      <alignment horizontal="center"/>
    </xf>
    <xf numFmtId="164" fontId="10" fillId="0" borderId="3" xfId="0" applyNumberFormat="1" applyFont="1" applyBorder="1" applyAlignment="1">
      <alignment horizontal="right"/>
    </xf>
    <xf numFmtId="164" fontId="10" fillId="9" borderId="3" xfId="0" applyNumberFormat="1" applyFont="1" applyFill="1" applyBorder="1" applyAlignment="1">
      <alignment horizontal="right"/>
    </xf>
    <xf numFmtId="0" fontId="10" fillId="0" borderId="0" xfId="0" applyFont="1" applyAlignment="1">
      <alignment horizontal="center" vertical="center"/>
    </xf>
    <xf numFmtId="0" fontId="10" fillId="9" borderId="3" xfId="0" applyFont="1" applyFill="1" applyBorder="1" applyAlignment="1">
      <alignment horizontal="center"/>
    </xf>
    <xf numFmtId="0" fontId="10" fillId="11" borderId="4" xfId="0" applyFont="1" applyFill="1" applyBorder="1" applyAlignment="1">
      <alignment horizontal="center"/>
    </xf>
    <xf numFmtId="0" fontId="10" fillId="12" borderId="0" xfId="0" applyFont="1" applyFill="1" applyAlignment="1">
      <alignment horizontal="center"/>
    </xf>
    <xf numFmtId="0" fontId="10" fillId="12" borderId="8" xfId="0" applyFont="1" applyFill="1" applyBorder="1" applyAlignment="1">
      <alignment horizontal="center"/>
    </xf>
    <xf numFmtId="0" fontId="10" fillId="14" borderId="0" xfId="0" applyFont="1" applyFill="1"/>
    <xf numFmtId="0" fontId="10" fillId="11" borderId="3" xfId="0" applyFont="1" applyFill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64" fontId="10" fillId="0" borderId="1" xfId="0" applyNumberFormat="1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0" fontId="12" fillId="18" borderId="15" xfId="0" applyFont="1" applyFill="1" applyBorder="1" applyAlignment="1">
      <alignment horizontal="right" vertical="center" wrapText="1"/>
    </xf>
    <xf numFmtId="0" fontId="10" fillId="11" borderId="3" xfId="0" applyFont="1" applyFill="1" applyBorder="1" applyAlignment="1">
      <alignment horizontal="right"/>
    </xf>
    <xf numFmtId="0" fontId="10" fillId="19" borderId="4" xfId="0" applyFont="1" applyFill="1" applyBorder="1" applyAlignment="1">
      <alignment horizontal="center"/>
    </xf>
    <xf numFmtId="0" fontId="10" fillId="11" borderId="7" xfId="0" applyFont="1" applyFill="1" applyBorder="1" applyAlignment="1">
      <alignment horizontal="center"/>
    </xf>
    <xf numFmtId="0" fontId="10" fillId="11" borderId="1" xfId="0" applyFont="1" applyFill="1" applyBorder="1" applyAlignment="1">
      <alignment horizontal="center"/>
    </xf>
    <xf numFmtId="164" fontId="10" fillId="0" borderId="1" xfId="0" applyNumberFormat="1" applyFont="1" applyBorder="1" applyAlignment="1">
      <alignment horizontal="right" vertical="center"/>
    </xf>
    <xf numFmtId="0" fontId="13" fillId="12" borderId="15" xfId="0" applyFont="1" applyFill="1" applyBorder="1" applyAlignment="1">
      <alignment horizontal="center" vertical="center" wrapText="1"/>
    </xf>
    <xf numFmtId="0" fontId="10" fillId="16" borderId="15" xfId="0" applyFont="1" applyFill="1" applyBorder="1" applyAlignment="1">
      <alignment horizontal="center" vertical="center" wrapText="1"/>
    </xf>
    <xf numFmtId="0" fontId="10" fillId="20" borderId="15" xfId="0" applyFont="1" applyFill="1" applyBorder="1" applyAlignment="1">
      <alignment horizontal="center" vertical="center" wrapText="1"/>
    </xf>
    <xf numFmtId="0" fontId="10" fillId="11" borderId="13" xfId="0" applyFont="1" applyFill="1" applyBorder="1" applyAlignment="1">
      <alignment horizontal="center"/>
    </xf>
    <xf numFmtId="0" fontId="10" fillId="16" borderId="16" xfId="0" applyFont="1" applyFill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/>
    </xf>
    <xf numFmtId="164" fontId="10" fillId="0" borderId="3" xfId="0" applyNumberFormat="1" applyFont="1" applyBorder="1" applyAlignment="1">
      <alignment horizontal="center" wrapText="1"/>
    </xf>
    <xf numFmtId="1" fontId="10" fillId="11" borderId="3" xfId="0" applyNumberFormat="1" applyFont="1" applyFill="1" applyBorder="1" applyAlignment="1">
      <alignment horizontal="center"/>
    </xf>
    <xf numFmtId="164" fontId="10" fillId="20" borderId="3" xfId="0" applyNumberFormat="1" applyFont="1" applyFill="1" applyBorder="1" applyAlignment="1">
      <alignment horizontal="center"/>
    </xf>
    <xf numFmtId="164" fontId="10" fillId="0" borderId="4" xfId="0" applyNumberFormat="1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14" borderId="0" xfId="0" applyFont="1" applyFill="1" applyAlignment="1">
      <alignment horizontal="center"/>
    </xf>
    <xf numFmtId="0" fontId="10" fillId="9" borderId="3" xfId="0" applyFont="1" applyFill="1" applyBorder="1" applyAlignment="1">
      <alignment horizontal="right"/>
    </xf>
    <xf numFmtId="164" fontId="11" fillId="0" borderId="0" xfId="0" applyNumberFormat="1" applyFont="1" applyAlignment="1">
      <alignment horizontal="center" vertical="center"/>
    </xf>
    <xf numFmtId="164" fontId="10" fillId="0" borderId="13" xfId="0" applyNumberFormat="1" applyFont="1" applyBorder="1" applyAlignment="1">
      <alignment horizontal="right"/>
    </xf>
    <xf numFmtId="164" fontId="10" fillId="0" borderId="9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right" vertical="center"/>
    </xf>
    <xf numFmtId="164" fontId="10" fillId="0" borderId="0" xfId="0" applyNumberFormat="1" applyFont="1" applyAlignment="1">
      <alignment horizontal="center" vertical="center"/>
    </xf>
    <xf numFmtId="164" fontId="10" fillId="0" borderId="8" xfId="0" applyNumberFormat="1" applyFont="1" applyBorder="1" applyAlignment="1">
      <alignment horizontal="center" vertical="center"/>
    </xf>
    <xf numFmtId="167" fontId="10" fillId="0" borderId="3" xfId="0" applyNumberFormat="1" applyFont="1" applyBorder="1" applyAlignment="1">
      <alignment horizontal="right"/>
    </xf>
    <xf numFmtId="0" fontId="10" fillId="0" borderId="3" xfId="0" applyFont="1" applyBorder="1"/>
    <xf numFmtId="167" fontId="10" fillId="9" borderId="3" xfId="0" applyNumberFormat="1" applyFont="1" applyFill="1" applyBorder="1" applyAlignment="1">
      <alignment horizontal="center"/>
    </xf>
    <xf numFmtId="167" fontId="10" fillId="9" borderId="3" xfId="0" applyNumberFormat="1" applyFont="1" applyFill="1" applyBorder="1" applyAlignment="1">
      <alignment horizontal="right"/>
    </xf>
    <xf numFmtId="0" fontId="10" fillId="17" borderId="3" xfId="0" applyFont="1" applyFill="1" applyBorder="1" applyAlignment="1">
      <alignment horizontal="center"/>
    </xf>
    <xf numFmtId="0" fontId="14" fillId="14" borderId="0" xfId="0" applyFont="1" applyFill="1"/>
    <xf numFmtId="0" fontId="14" fillId="14" borderId="0" xfId="0" applyFont="1" applyFill="1" applyAlignment="1">
      <alignment horizontal="center"/>
    </xf>
    <xf numFmtId="167" fontId="10" fillId="0" borderId="3" xfId="0" applyNumberFormat="1" applyFont="1" applyBorder="1" applyAlignment="1">
      <alignment horizontal="center"/>
    </xf>
    <xf numFmtId="0" fontId="10" fillId="14" borderId="8" xfId="0" applyFont="1" applyFill="1" applyBorder="1"/>
    <xf numFmtId="164" fontId="11" fillId="14" borderId="0" xfId="0" applyNumberFormat="1" applyFont="1" applyFill="1" applyAlignment="1">
      <alignment horizontal="center" vertical="center"/>
    </xf>
    <xf numFmtId="164" fontId="10" fillId="0" borderId="0" xfId="0" applyNumberFormat="1" applyFont="1"/>
    <xf numFmtId="0" fontId="10" fillId="0" borderId="8" xfId="0" applyFont="1" applyBorder="1"/>
    <xf numFmtId="164" fontId="11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164" fontId="10" fillId="9" borderId="3" xfId="0" applyNumberFormat="1" applyFont="1" applyFill="1" applyBorder="1" applyAlignment="1">
      <alignment horizontal="center" vertical="center"/>
    </xf>
    <xf numFmtId="164" fontId="11" fillId="0" borderId="0" xfId="0" applyNumberFormat="1" applyFont="1" applyAlignment="1">
      <alignment vertical="center"/>
    </xf>
    <xf numFmtId="164" fontId="11" fillId="0" borderId="8" xfId="0" applyNumberFormat="1" applyFont="1" applyBorder="1" applyAlignment="1">
      <alignment vertical="center"/>
    </xf>
    <xf numFmtId="164" fontId="10" fillId="11" borderId="3" xfId="0" applyNumberFormat="1" applyFont="1" applyFill="1" applyBorder="1" applyAlignment="1">
      <alignment horizontal="center"/>
    </xf>
    <xf numFmtId="164" fontId="15" fillId="13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164" fontId="11" fillId="0" borderId="10" xfId="0" applyNumberFormat="1" applyFont="1" applyBorder="1" applyAlignment="1">
      <alignment horizontal="center"/>
    </xf>
    <xf numFmtId="164" fontId="16" fillId="0" borderId="5" xfId="0" applyNumberFormat="1" applyFont="1" applyBorder="1" applyAlignment="1">
      <alignment horizontal="center"/>
    </xf>
    <xf numFmtId="164" fontId="16" fillId="0" borderId="6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9" borderId="4" xfId="0" applyFill="1" applyBorder="1" applyAlignment="1">
      <alignment horizontal="center"/>
    </xf>
    <xf numFmtId="164" fontId="16" fillId="0" borderId="0" xfId="0" applyNumberFormat="1" applyFont="1" applyAlignment="1">
      <alignment horizontal="center" vertical="center"/>
    </xf>
    <xf numFmtId="164" fontId="16" fillId="0" borderId="8" xfId="0" applyNumberFormat="1" applyFont="1" applyBorder="1" applyAlignment="1">
      <alignment horizontal="center" vertical="center"/>
    </xf>
    <xf numFmtId="0" fontId="0" fillId="11" borderId="3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5" fillId="13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left" vertical="center"/>
    </xf>
    <xf numFmtId="164" fontId="0" fillId="0" borderId="3" xfId="0" applyNumberFormat="1" applyBorder="1" applyAlignment="1">
      <alignment horizontal="center"/>
    </xf>
    <xf numFmtId="164" fontId="17" fillId="9" borderId="3" xfId="0" applyNumberFormat="1" applyFont="1" applyFill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10" fillId="0" borderId="5" xfId="0" applyFont="1" applyBorder="1"/>
    <xf numFmtId="0" fontId="10" fillId="0" borderId="6" xfId="0" applyFont="1" applyBorder="1"/>
    <xf numFmtId="0" fontId="10" fillId="0" borderId="3" xfId="0" applyFont="1" applyBorder="1" applyAlignment="1">
      <alignment horizontal="right"/>
    </xf>
    <xf numFmtId="0" fontId="10" fillId="9" borderId="3" xfId="0" applyFont="1" applyFill="1" applyBorder="1" applyAlignment="1">
      <alignment horizontal="right" wrapText="1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right"/>
    </xf>
    <xf numFmtId="1" fontId="7" fillId="3" borderId="1" xfId="0" applyNumberFormat="1" applyFont="1" applyFill="1" applyBorder="1" applyAlignment="1">
      <alignment horizontal="center" vertical="center"/>
    </xf>
    <xf numFmtId="0" fontId="3" fillId="4" borderId="3" xfId="0" applyFont="1" applyFill="1" applyBorder="1"/>
    <xf numFmtId="3" fontId="3" fillId="0" borderId="3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" fontId="7" fillId="7" borderId="1" xfId="0" applyNumberFormat="1" applyFont="1" applyFill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164" fontId="11" fillId="3" borderId="3" xfId="0" applyNumberFormat="1" applyFont="1" applyFill="1" applyBorder="1" applyAlignment="1">
      <alignment horizontal="center" vertical="center"/>
    </xf>
    <xf numFmtId="0" fontId="10" fillId="15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1" fontId="7" fillId="3" borderId="3" xfId="0" applyNumberFormat="1" applyFont="1" applyFill="1" applyBorder="1" applyAlignment="1">
      <alignment horizontal="center" vertical="center"/>
    </xf>
    <xf numFmtId="0" fontId="10" fillId="10" borderId="3" xfId="0" applyFont="1" applyFill="1" applyBorder="1" applyAlignment="1">
      <alignment horizontal="center"/>
    </xf>
    <xf numFmtId="0" fontId="10" fillId="10" borderId="3" xfId="0" applyFont="1" applyFill="1" applyBorder="1"/>
    <xf numFmtId="1" fontId="4" fillId="7" borderId="3" xfId="0" applyNumberFormat="1" applyFon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3" fillId="0" borderId="10" xfId="0" applyFont="1" applyBorder="1"/>
    <xf numFmtId="0" fontId="12" fillId="3" borderId="1" xfId="0" applyFont="1" applyFill="1" applyBorder="1" applyAlignment="1">
      <alignment horizontal="center"/>
    </xf>
    <xf numFmtId="0" fontId="3" fillId="2" borderId="0" xfId="0" applyFont="1" applyFill="1"/>
    <xf numFmtId="164" fontId="7" fillId="3" borderId="1" xfId="0" applyNumberFormat="1" applyFont="1" applyFill="1" applyBorder="1" applyAlignment="1">
      <alignment horizontal="center" vertical="center"/>
    </xf>
    <xf numFmtId="0" fontId="10" fillId="15" borderId="0" xfId="0" applyFont="1" applyFill="1"/>
    <xf numFmtId="0" fontId="10" fillId="2" borderId="9" xfId="0" applyFont="1" applyFill="1" applyBorder="1"/>
    <xf numFmtId="0" fontId="10" fillId="4" borderId="3" xfId="0" applyFont="1" applyFill="1" applyBorder="1"/>
    <xf numFmtId="164" fontId="10" fillId="11" borderId="3" xfId="0" applyNumberFormat="1" applyFont="1" applyFill="1" applyBorder="1" applyAlignment="1">
      <alignment horizontal="right"/>
    </xf>
    <xf numFmtId="0" fontId="10" fillId="2" borderId="3" xfId="0" applyFont="1" applyFill="1" applyBorder="1"/>
    <xf numFmtId="0" fontId="10" fillId="3" borderId="14" xfId="0" applyFont="1" applyFill="1" applyBorder="1" applyAlignment="1">
      <alignment horizontal="left"/>
    </xf>
    <xf numFmtId="0" fontId="10" fillId="3" borderId="2" xfId="0" applyFont="1" applyFill="1" applyBorder="1" applyAlignment="1">
      <alignment horizontal="left"/>
    </xf>
    <xf numFmtId="167" fontId="10" fillId="11" borderId="3" xfId="0" applyNumberFormat="1" applyFont="1" applyFill="1" applyBorder="1" applyAlignment="1">
      <alignment horizontal="right"/>
    </xf>
    <xf numFmtId="0" fontId="10" fillId="2" borderId="0" xfId="0" applyFont="1" applyFill="1"/>
    <xf numFmtId="164" fontId="10" fillId="0" borderId="7" xfId="0" applyNumberFormat="1" applyFont="1" applyBorder="1" applyAlignment="1">
      <alignment horizontal="right"/>
    </xf>
    <xf numFmtId="164" fontId="12" fillId="12" borderId="3" xfId="0" applyNumberFormat="1" applyFont="1" applyFill="1" applyBorder="1" applyAlignment="1">
      <alignment horizontal="center"/>
    </xf>
    <xf numFmtId="164" fontId="12" fillId="12" borderId="2" xfId="0" applyNumberFormat="1" applyFont="1" applyFill="1" applyBorder="1" applyAlignment="1">
      <alignment horizontal="center"/>
    </xf>
    <xf numFmtId="164" fontId="10" fillId="0" borderId="12" xfId="0" applyNumberFormat="1" applyFont="1" applyBorder="1" applyAlignment="1">
      <alignment horizontal="center"/>
    </xf>
    <xf numFmtId="0" fontId="10" fillId="11" borderId="0" xfId="0" applyFont="1" applyFill="1" applyAlignment="1">
      <alignment horizontal="center"/>
    </xf>
    <xf numFmtId="0" fontId="10" fillId="16" borderId="0" xfId="0" applyFont="1" applyFill="1" applyAlignment="1">
      <alignment horizontal="center" vertical="center" wrapText="1"/>
    </xf>
    <xf numFmtId="164" fontId="10" fillId="0" borderId="1" xfId="0" applyNumberFormat="1" applyFont="1" applyBorder="1" applyAlignment="1">
      <alignment horizontal="right"/>
    </xf>
    <xf numFmtId="0" fontId="10" fillId="14" borderId="18" xfId="0" applyFont="1" applyFill="1" applyBorder="1"/>
    <xf numFmtId="164" fontId="0" fillId="0" borderId="9" xfId="0" applyNumberFormat="1" applyBorder="1" applyAlignment="1">
      <alignment horizontal="center"/>
    </xf>
    <xf numFmtId="164" fontId="10" fillId="0" borderId="13" xfId="0" applyNumberFormat="1" applyFont="1" applyBorder="1" applyAlignment="1">
      <alignment horizontal="center"/>
    </xf>
    <xf numFmtId="164" fontId="10" fillId="9" borderId="3" xfId="0" applyNumberFormat="1" applyFont="1" applyFill="1" applyBorder="1" applyAlignment="1">
      <alignment horizontal="center"/>
    </xf>
    <xf numFmtId="164" fontId="10" fillId="0" borderId="3" xfId="0" applyNumberFormat="1" applyFont="1" applyBorder="1" applyAlignment="1">
      <alignment horizontal="center" vertical="top"/>
    </xf>
    <xf numFmtId="0" fontId="10" fillId="11" borderId="7" xfId="0" applyFont="1" applyFill="1" applyBorder="1" applyAlignment="1">
      <alignment horizontal="center" vertical="top"/>
    </xf>
    <xf numFmtId="0" fontId="10" fillId="11" borderId="3" xfId="0" applyFont="1" applyFill="1" applyBorder="1" applyAlignment="1">
      <alignment horizontal="center" vertical="top"/>
    </xf>
    <xf numFmtId="1" fontId="3" fillId="0" borderId="0" xfId="0" applyNumberFormat="1" applyFont="1"/>
    <xf numFmtId="1" fontId="4" fillId="0" borderId="0" xfId="0" applyNumberFormat="1" applyFont="1" applyAlignment="1">
      <alignment horizontal="center"/>
    </xf>
    <xf numFmtId="1" fontId="7" fillId="8" borderId="1" xfId="0" applyNumberFormat="1" applyFont="1" applyFill="1" applyBorder="1" applyAlignment="1">
      <alignment horizontal="center" vertical="center"/>
    </xf>
    <xf numFmtId="1" fontId="10" fillId="9" borderId="3" xfId="0" applyNumberFormat="1" applyFont="1" applyFill="1" applyBorder="1" applyAlignment="1">
      <alignment horizontal="center"/>
    </xf>
    <xf numFmtId="1" fontId="10" fillId="11" borderId="13" xfId="0" applyNumberFormat="1" applyFont="1" applyFill="1" applyBorder="1" applyAlignment="1">
      <alignment horizontal="center"/>
    </xf>
    <xf numFmtId="1" fontId="10" fillId="0" borderId="3" xfId="0" applyNumberFormat="1" applyFont="1" applyBorder="1" applyAlignment="1">
      <alignment horizontal="right"/>
    </xf>
    <xf numFmtId="1" fontId="10" fillId="0" borderId="3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center" vertical="center"/>
    </xf>
    <xf numFmtId="1" fontId="10" fillId="11" borderId="3" xfId="0" applyNumberFormat="1" applyFont="1" applyFill="1" applyBorder="1" applyAlignment="1">
      <alignment horizontal="right"/>
    </xf>
    <xf numFmtId="1" fontId="10" fillId="9" borderId="3" xfId="0" applyNumberFormat="1" applyFont="1" applyFill="1" applyBorder="1" applyAlignment="1">
      <alignment horizontal="right"/>
    </xf>
    <xf numFmtId="1" fontId="7" fillId="8" borderId="3" xfId="0" applyNumberFormat="1" applyFont="1" applyFill="1" applyBorder="1" applyAlignment="1">
      <alignment horizontal="center" vertical="center"/>
    </xf>
    <xf numFmtId="1" fontId="10" fillId="11" borderId="1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0" borderId="3" xfId="0" applyNumberFormat="1" applyFont="1" applyBorder="1"/>
    <xf numFmtId="0" fontId="10" fillId="11" borderId="3" xfId="0" applyFont="1" applyFill="1" applyBorder="1" applyAlignment="1">
      <alignment horizontal="center" vertical="center"/>
    </xf>
    <xf numFmtId="1" fontId="10" fillId="21" borderId="19" xfId="0" applyNumberFormat="1" applyFont="1" applyFill="1" applyBorder="1" applyAlignment="1">
      <alignment horizontal="center"/>
    </xf>
    <xf numFmtId="0" fontId="10" fillId="9" borderId="7" xfId="0" applyFont="1" applyFill="1" applyBorder="1" applyAlignment="1">
      <alignment horizontal="center"/>
    </xf>
    <xf numFmtId="164" fontId="10" fillId="9" borderId="9" xfId="0" applyNumberFormat="1" applyFont="1" applyFill="1" applyBorder="1" applyAlignment="1">
      <alignment horizontal="center" vertical="center"/>
    </xf>
    <xf numFmtId="1" fontId="18" fillId="0" borderId="3" xfId="0" applyNumberFormat="1" applyFont="1" applyBorder="1"/>
    <xf numFmtId="164" fontId="18" fillId="0" borderId="3" xfId="0" applyNumberFormat="1" applyFont="1" applyBorder="1" applyAlignment="1">
      <alignment horizontal="center"/>
    </xf>
    <xf numFmtId="164" fontId="18" fillId="0" borderId="3" xfId="0" applyNumberFormat="1" applyFont="1" applyBorder="1"/>
    <xf numFmtId="164" fontId="18" fillId="0" borderId="3" xfId="0" applyNumberFormat="1" applyFont="1" applyBorder="1" applyAlignment="1">
      <alignment horizontal="center" vertical="center"/>
    </xf>
    <xf numFmtId="164" fontId="19" fillId="0" borderId="3" xfId="0" applyNumberFormat="1" applyFont="1" applyBorder="1" applyAlignment="1">
      <alignment horizontal="center"/>
    </xf>
    <xf numFmtId="164" fontId="20" fillId="0" borderId="3" xfId="0" applyNumberFormat="1" applyFont="1" applyBorder="1" applyAlignment="1">
      <alignment horizontal="center" vertical="center"/>
    </xf>
    <xf numFmtId="164" fontId="20" fillId="0" borderId="3" xfId="0" applyNumberFormat="1" applyFont="1" applyBorder="1" applyAlignment="1">
      <alignment horizontal="center"/>
    </xf>
    <xf numFmtId="1" fontId="18" fillId="0" borderId="3" xfId="0" applyNumberFormat="1" applyFont="1" applyBorder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1" fontId="10" fillId="0" borderId="8" xfId="0" applyNumberFormat="1" applyFont="1" applyBorder="1" applyAlignment="1">
      <alignment horizontal="center" vertical="center"/>
    </xf>
    <xf numFmtId="164" fontId="10" fillId="9" borderId="7" xfId="0" applyNumberFormat="1" applyFont="1" applyFill="1" applyBorder="1" applyAlignment="1">
      <alignment horizontal="right"/>
    </xf>
    <xf numFmtId="164" fontId="10" fillId="9" borderId="7" xfId="0" applyNumberFormat="1" applyFont="1" applyFill="1" applyBorder="1" applyAlignment="1">
      <alignment horizontal="center"/>
    </xf>
    <xf numFmtId="164" fontId="10" fillId="11" borderId="13" xfId="0" applyNumberFormat="1" applyFont="1" applyFill="1" applyBorder="1" applyAlignment="1">
      <alignment horizontal="right"/>
    </xf>
    <xf numFmtId="164" fontId="10" fillId="11" borderId="13" xfId="0" applyNumberFormat="1" applyFont="1" applyFill="1" applyBorder="1" applyAlignment="1">
      <alignment horizontal="center"/>
    </xf>
    <xf numFmtId="164" fontId="10" fillId="0" borderId="19" xfId="0" applyNumberFormat="1" applyFont="1" applyBorder="1" applyAlignment="1">
      <alignment horizontal="right"/>
    </xf>
    <xf numFmtId="164" fontId="10" fillId="0" borderId="19" xfId="0" applyNumberFormat="1" applyFont="1" applyBorder="1" applyAlignment="1">
      <alignment horizontal="center"/>
    </xf>
    <xf numFmtId="164" fontId="14" fillId="22" borderId="3" xfId="0" applyNumberFormat="1" applyFont="1" applyFill="1" applyBorder="1" applyAlignment="1">
      <alignment horizontal="center"/>
    </xf>
    <xf numFmtId="164" fontId="15" fillId="22" borderId="3" xfId="0" applyNumberFormat="1" applyFont="1" applyFill="1" applyBorder="1" applyAlignment="1">
      <alignment horizontal="right"/>
    </xf>
    <xf numFmtId="164" fontId="10" fillId="11" borderId="3" xfId="0" applyNumberFormat="1" applyFont="1" applyFill="1" applyBorder="1" applyAlignment="1">
      <alignment horizontal="center" vertical="center"/>
    </xf>
    <xf numFmtId="164" fontId="15" fillId="22" borderId="3" xfId="0" applyNumberFormat="1" applyFont="1" applyFill="1" applyBorder="1" applyAlignment="1">
      <alignment horizontal="center" vertical="center"/>
    </xf>
    <xf numFmtId="167" fontId="10" fillId="0" borderId="3" xfId="0" applyNumberFormat="1" applyFont="1" applyBorder="1" applyAlignment="1">
      <alignment horizontal="center" vertical="center"/>
    </xf>
    <xf numFmtId="1" fontId="21" fillId="0" borderId="3" xfId="0" applyNumberFormat="1" applyFont="1" applyBorder="1" applyAlignment="1">
      <alignment horizontal="center" vertical="center"/>
    </xf>
    <xf numFmtId="1" fontId="22" fillId="0" borderId="3" xfId="0" applyNumberFormat="1" applyFont="1" applyBorder="1" applyAlignment="1">
      <alignment horizontal="center" vertical="center"/>
    </xf>
    <xf numFmtId="164" fontId="10" fillId="23" borderId="1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9" borderId="12" xfId="0" applyFont="1" applyFill="1" applyBorder="1" applyAlignment="1">
      <alignment horizontal="center"/>
    </xf>
    <xf numFmtId="0" fontId="10" fillId="16" borderId="20" xfId="0" applyFont="1" applyFill="1" applyBorder="1" applyAlignment="1">
      <alignment horizontal="center" vertical="center" wrapText="1"/>
    </xf>
    <xf numFmtId="0" fontId="10" fillId="16" borderId="1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/>
    </xf>
    <xf numFmtId="0" fontId="10" fillId="9" borderId="7" xfId="0" applyFont="1" applyFill="1" applyBorder="1" applyAlignment="1">
      <alignment horizontal="right"/>
    </xf>
    <xf numFmtId="0" fontId="10" fillId="9" borderId="18" xfId="0" applyFont="1" applyFill="1" applyBorder="1" applyAlignment="1">
      <alignment horizontal="center"/>
    </xf>
    <xf numFmtId="0" fontId="10" fillId="9" borderId="19" xfId="0" applyFont="1" applyFill="1" applyBorder="1" applyAlignment="1">
      <alignment horizontal="right"/>
    </xf>
    <xf numFmtId="0" fontId="3" fillId="0" borderId="21" xfId="0" applyFont="1" applyBorder="1" applyAlignment="1">
      <alignment horizontal="center"/>
    </xf>
    <xf numFmtId="164" fontId="10" fillId="0" borderId="7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right"/>
    </xf>
    <xf numFmtId="167" fontId="3" fillId="0" borderId="3" xfId="0" applyNumberFormat="1" applyFont="1" applyBorder="1" applyAlignment="1">
      <alignment horizontal="right"/>
    </xf>
    <xf numFmtId="164" fontId="10" fillId="11" borderId="9" xfId="0" applyNumberFormat="1" applyFont="1" applyFill="1" applyBorder="1" applyAlignment="1">
      <alignment horizontal="right"/>
    </xf>
    <xf numFmtId="164" fontId="10" fillId="11" borderId="9" xfId="0" applyNumberFormat="1" applyFont="1" applyFill="1" applyBorder="1" applyAlignment="1">
      <alignment horizontal="center"/>
    </xf>
    <xf numFmtId="0" fontId="10" fillId="16" borderId="23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center"/>
    </xf>
    <xf numFmtId="0" fontId="10" fillId="16" borderId="2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9" borderId="3" xfId="0" applyFont="1" applyFill="1" applyBorder="1" applyAlignment="1">
      <alignment horizontal="center" vertical="center"/>
    </xf>
    <xf numFmtId="0" fontId="10" fillId="9" borderId="4" xfId="0" applyFont="1" applyFill="1" applyBorder="1" applyAlignment="1">
      <alignment horizontal="center" vertical="center"/>
    </xf>
    <xf numFmtId="0" fontId="10" fillId="11" borderId="13" xfId="0" applyFont="1" applyFill="1" applyBorder="1" applyAlignment="1">
      <alignment horizontal="center" vertical="center"/>
    </xf>
    <xf numFmtId="0" fontId="10" fillId="9" borderId="7" xfId="0" applyFont="1" applyFill="1" applyBorder="1" applyAlignment="1">
      <alignment horizontal="center" vertical="center"/>
    </xf>
    <xf numFmtId="0" fontId="10" fillId="9" borderId="19" xfId="0" applyFont="1" applyFill="1" applyBorder="1" applyAlignment="1">
      <alignment horizontal="center" vertical="center"/>
    </xf>
    <xf numFmtId="0" fontId="10" fillId="11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" fontId="10" fillId="11" borderId="4" xfId="0" applyNumberFormat="1" applyFont="1" applyFill="1" applyBorder="1" applyAlignment="1">
      <alignment horizontal="center" vertical="center"/>
    </xf>
    <xf numFmtId="0" fontId="10" fillId="14" borderId="8" xfId="0" applyFont="1" applyFill="1" applyBorder="1" applyAlignment="1">
      <alignment horizontal="center"/>
    </xf>
    <xf numFmtId="0" fontId="10" fillId="14" borderId="0" xfId="0" applyFont="1" applyFill="1" applyAlignment="1">
      <alignment horizontal="center" vertical="center"/>
    </xf>
    <xf numFmtId="0" fontId="18" fillId="12" borderId="0" xfId="0" applyFont="1" applyFill="1" applyAlignment="1">
      <alignment horizontal="center"/>
    </xf>
    <xf numFmtId="0" fontId="10" fillId="12" borderId="0" xfId="0" applyFont="1" applyFill="1"/>
    <xf numFmtId="0" fontId="14" fillId="12" borderId="0" xfId="0" applyFont="1" applyFill="1"/>
    <xf numFmtId="0" fontId="14" fillId="12" borderId="0" xfId="0" applyFont="1" applyFill="1" applyAlignment="1">
      <alignment horizontal="center"/>
    </xf>
    <xf numFmtId="0" fontId="3" fillId="12" borderId="6" xfId="0" applyFont="1" applyFill="1" applyBorder="1"/>
    <xf numFmtId="0" fontId="3" fillId="12" borderId="0" xfId="0" applyFont="1" applyFill="1"/>
    <xf numFmtId="164" fontId="10" fillId="12" borderId="0" xfId="0" applyNumberFormat="1" applyFont="1" applyFill="1"/>
    <xf numFmtId="0" fontId="10" fillId="12" borderId="8" xfId="0" applyFont="1" applyFill="1" applyBorder="1"/>
    <xf numFmtId="164" fontId="11" fillId="12" borderId="0" xfId="0" applyNumberFormat="1" applyFont="1" applyFill="1" applyAlignment="1">
      <alignment horizontal="center" vertical="center"/>
    </xf>
    <xf numFmtId="164" fontId="0" fillId="12" borderId="3" xfId="0" applyNumberFormat="1" applyFill="1" applyBorder="1" applyAlignment="1">
      <alignment horizontal="center"/>
    </xf>
    <xf numFmtId="0" fontId="23" fillId="11" borderId="17" xfId="0" applyFont="1" applyFill="1" applyBorder="1" applyAlignment="1">
      <alignment horizontal="center"/>
    </xf>
    <xf numFmtId="0" fontId="23" fillId="11" borderId="0" xfId="0" applyFont="1" applyFill="1" applyAlignment="1">
      <alignment horizontal="center"/>
    </xf>
    <xf numFmtId="164" fontId="15" fillId="0" borderId="3" xfId="0" applyNumberFormat="1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24" fillId="0" borderId="11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164" fontId="10" fillId="24" borderId="1" xfId="0" applyNumberFormat="1" applyFont="1" applyFill="1" applyBorder="1" applyAlignment="1">
      <alignment horizontal="center" vertical="center"/>
    </xf>
    <xf numFmtId="164" fontId="10" fillId="18" borderId="1" xfId="0" applyNumberFormat="1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" fontId="10" fillId="21" borderId="19" xfId="0" applyNumberFormat="1" applyFont="1" applyFill="1" applyBorder="1" applyAlignment="1">
      <alignment horizontal="center" vertical="center"/>
    </xf>
    <xf numFmtId="164" fontId="10" fillId="24" borderId="3" xfId="0" applyNumberFormat="1" applyFont="1" applyFill="1" applyBorder="1" applyAlignment="1">
      <alignment horizontal="center" vertical="center"/>
    </xf>
    <xf numFmtId="1" fontId="10" fillId="24" borderId="3" xfId="0" applyNumberFormat="1" applyFont="1" applyFill="1" applyBorder="1" applyAlignment="1">
      <alignment horizontal="center" vertical="center"/>
    </xf>
    <xf numFmtId="1" fontId="10" fillId="24" borderId="1" xfId="0" applyNumberFormat="1" applyFont="1" applyFill="1" applyBorder="1" applyAlignment="1">
      <alignment horizontal="center" vertical="center"/>
    </xf>
    <xf numFmtId="1" fontId="10" fillId="18" borderId="17" xfId="0" applyNumberFormat="1" applyFont="1" applyFill="1" applyBorder="1" applyAlignment="1">
      <alignment horizontal="center" vertical="center"/>
    </xf>
    <xf numFmtId="1" fontId="10" fillId="0" borderId="2" xfId="0" applyNumberFormat="1" applyFont="1" applyBorder="1" applyAlignment="1">
      <alignment horizontal="center"/>
    </xf>
    <xf numFmtId="167" fontId="10" fillId="0" borderId="25" xfId="0" applyNumberFormat="1" applyFont="1" applyBorder="1" applyAlignment="1">
      <alignment horizontal="center"/>
    </xf>
    <xf numFmtId="0" fontId="10" fillId="25" borderId="13" xfId="0" applyFont="1" applyFill="1" applyBorder="1" applyAlignment="1">
      <alignment horizontal="center"/>
    </xf>
    <xf numFmtId="1" fontId="10" fillId="25" borderId="1" xfId="0" applyNumberFormat="1" applyFont="1" applyFill="1" applyBorder="1" applyAlignment="1">
      <alignment horizontal="center"/>
    </xf>
    <xf numFmtId="1" fontId="10" fillId="24" borderId="17" xfId="0" applyNumberFormat="1" applyFont="1" applyFill="1" applyBorder="1" applyAlignment="1">
      <alignment horizontal="center" vertical="center"/>
    </xf>
    <xf numFmtId="1" fontId="0" fillId="0" borderId="3" xfId="0" applyNumberFormat="1" applyBorder="1" applyAlignment="1">
      <alignment horizontal="center"/>
    </xf>
    <xf numFmtId="0" fontId="10" fillId="0" borderId="3" xfId="0" applyFont="1" applyBorder="1" applyAlignment="1">
      <alignment horizontal="right" vertical="center"/>
    </xf>
    <xf numFmtId="0" fontId="10" fillId="9" borderId="3" xfId="0" applyFont="1" applyFill="1" applyBorder="1" applyAlignment="1">
      <alignment horizontal="right" vertical="center"/>
    </xf>
    <xf numFmtId="1" fontId="10" fillId="0" borderId="19" xfId="0" applyNumberFormat="1" applyFont="1" applyBorder="1" applyAlignment="1">
      <alignment horizontal="center" vertical="center"/>
    </xf>
    <xf numFmtId="0" fontId="10" fillId="9" borderId="3" xfId="0" applyFont="1" applyFill="1" applyBorder="1" applyAlignment="1">
      <alignment horizontal="right" vertical="center" wrapText="1"/>
    </xf>
    <xf numFmtId="0" fontId="10" fillId="11" borderId="3" xfId="0" applyFont="1" applyFill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64" fontId="3" fillId="0" borderId="1" xfId="0" applyNumberFormat="1" applyFont="1" applyBorder="1" applyAlignment="1">
      <alignment horizontal="center"/>
    </xf>
    <xf numFmtId="0" fontId="12" fillId="3" borderId="18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164" fontId="10" fillId="9" borderId="9" xfId="0" applyNumberFormat="1" applyFont="1" applyFill="1" applyBorder="1" applyAlignment="1">
      <alignment horizontal="right"/>
    </xf>
    <xf numFmtId="164" fontId="10" fillId="9" borderId="9" xfId="0" applyNumberFormat="1" applyFont="1" applyFill="1" applyBorder="1" applyAlignment="1">
      <alignment horizontal="center"/>
    </xf>
    <xf numFmtId="164" fontId="15" fillId="22" borderId="26" xfId="0" applyNumberFormat="1" applyFont="1" applyFill="1" applyBorder="1" applyAlignment="1">
      <alignment horizontal="center" vertical="center"/>
    </xf>
    <xf numFmtId="164" fontId="14" fillId="22" borderId="27" xfId="0" applyNumberFormat="1" applyFont="1" applyFill="1" applyBorder="1" applyAlignment="1">
      <alignment horizontal="center"/>
    </xf>
    <xf numFmtId="164" fontId="15" fillId="22" borderId="27" xfId="0" applyNumberFormat="1" applyFont="1" applyFill="1" applyBorder="1" applyAlignment="1">
      <alignment horizontal="right"/>
    </xf>
    <xf numFmtId="164" fontId="15" fillId="22" borderId="27" xfId="0" applyNumberFormat="1" applyFont="1" applyFill="1" applyBorder="1" applyAlignment="1">
      <alignment horizontal="center"/>
    </xf>
    <xf numFmtId="164" fontId="15" fillId="22" borderId="28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3" fillId="14" borderId="6" xfId="0" applyFont="1" applyFill="1" applyBorder="1"/>
    <xf numFmtId="0" fontId="13" fillId="12" borderId="15" xfId="0" applyFont="1" applyFill="1" applyBorder="1" applyAlignment="1">
      <alignment horizontal="right" vertical="center" wrapText="1"/>
    </xf>
    <xf numFmtId="164" fontId="0" fillId="26" borderId="3" xfId="0" applyNumberFormat="1" applyFill="1" applyBorder="1" applyAlignment="1">
      <alignment horizontal="center"/>
    </xf>
    <xf numFmtId="0" fontId="12" fillId="12" borderId="15" xfId="0" applyFont="1" applyFill="1" applyBorder="1" applyAlignment="1">
      <alignment horizontal="center" vertical="center" wrapText="1"/>
    </xf>
    <xf numFmtId="1" fontId="10" fillId="0" borderId="7" xfId="0" applyNumberFormat="1" applyFont="1" applyBorder="1" applyAlignment="1">
      <alignment horizontal="center"/>
    </xf>
    <xf numFmtId="1" fontId="10" fillId="0" borderId="7" xfId="0" applyNumberFormat="1" applyFont="1" applyBorder="1" applyAlignment="1">
      <alignment horizontal="center" vertical="center"/>
    </xf>
    <xf numFmtId="0" fontId="10" fillId="9" borderId="4" xfId="0" applyFont="1" applyFill="1" applyBorder="1" applyAlignment="1">
      <alignment horizontal="right"/>
    </xf>
    <xf numFmtId="0" fontId="10" fillId="21" borderId="3" xfId="0" applyFont="1" applyFill="1" applyBorder="1" applyAlignment="1">
      <alignment horizontal="center"/>
    </xf>
    <xf numFmtId="1" fontId="10" fillId="11" borderId="4" xfId="0" applyNumberFormat="1" applyFont="1" applyFill="1" applyBorder="1" applyAlignment="1">
      <alignment horizontal="right"/>
    </xf>
    <xf numFmtId="1" fontId="10" fillId="0" borderId="13" xfId="0" applyNumberFormat="1" applyFont="1" applyBorder="1" applyAlignment="1">
      <alignment horizontal="center" vertical="center"/>
    </xf>
    <xf numFmtId="164" fontId="10" fillId="14" borderId="0" xfId="0" applyNumberFormat="1" applyFont="1" applyFill="1"/>
    <xf numFmtId="1" fontId="10" fillId="0" borderId="19" xfId="0" applyNumberFormat="1" applyFont="1" applyBorder="1" applyAlignment="1">
      <alignment horizontal="center"/>
    </xf>
    <xf numFmtId="1" fontId="10" fillId="0" borderId="7" xfId="0" applyNumberFormat="1" applyFont="1" applyBorder="1"/>
    <xf numFmtId="1" fontId="11" fillId="3" borderId="3" xfId="0" applyNumberFormat="1" applyFont="1" applyFill="1" applyBorder="1" applyAlignment="1">
      <alignment horizontal="left" vertical="center"/>
    </xf>
    <xf numFmtId="1" fontId="11" fillId="3" borderId="3" xfId="0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164" fontId="10" fillId="20" borderId="3" xfId="0" applyNumberFormat="1" applyFont="1" applyFill="1" applyBorder="1" applyAlignment="1">
      <alignment horizontal="right"/>
    </xf>
    <xf numFmtId="164" fontId="10" fillId="21" borderId="3" xfId="0" applyNumberFormat="1" applyFont="1" applyFill="1" applyBorder="1" applyAlignment="1">
      <alignment horizontal="center"/>
    </xf>
    <xf numFmtId="0" fontId="10" fillId="11" borderId="4" xfId="0" applyFont="1" applyFill="1" applyBorder="1" applyAlignment="1">
      <alignment horizontal="right"/>
    </xf>
    <xf numFmtId="1" fontId="10" fillId="21" borderId="3" xfId="0" applyNumberFormat="1" applyFont="1" applyFill="1" applyBorder="1" applyAlignment="1">
      <alignment horizontal="center"/>
    </xf>
    <xf numFmtId="164" fontId="10" fillId="27" borderId="3" xfId="0" applyNumberFormat="1" applyFont="1" applyFill="1" applyBorder="1" applyAlignment="1">
      <alignment horizontal="left"/>
    </xf>
    <xf numFmtId="164" fontId="10" fillId="27" borderId="3" xfId="0" applyNumberFormat="1" applyFont="1" applyFill="1" applyBorder="1" applyAlignment="1">
      <alignment horizontal="center"/>
    </xf>
    <xf numFmtId="1" fontId="10" fillId="21" borderId="7" xfId="0" applyNumberFormat="1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/>
    </xf>
    <xf numFmtId="164" fontId="10" fillId="0" borderId="13" xfId="0" applyNumberFormat="1" applyFont="1" applyBorder="1" applyAlignment="1">
      <alignment horizontal="center" vertical="center"/>
    </xf>
    <xf numFmtId="164" fontId="15" fillId="13" borderId="13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26" borderId="9" xfId="0" applyFont="1" applyFill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164" fontId="20" fillId="27" borderId="3" xfId="0" applyNumberFormat="1" applyFont="1" applyFill="1" applyBorder="1" applyAlignment="1">
      <alignment horizontal="center"/>
    </xf>
    <xf numFmtId="0" fontId="20" fillId="28" borderId="3" xfId="0" applyFont="1" applyFill="1" applyBorder="1" applyAlignment="1">
      <alignment horizontal="center"/>
    </xf>
    <xf numFmtId="164" fontId="10" fillId="0" borderId="13" xfId="0" applyNumberFormat="1" applyFont="1" applyBorder="1" applyAlignment="1">
      <alignment horizontal="center" vertical="top"/>
    </xf>
    <xf numFmtId="164" fontId="10" fillId="0" borderId="9" xfId="0" applyNumberFormat="1" applyFont="1" applyBorder="1" applyAlignment="1">
      <alignment horizontal="center"/>
    </xf>
    <xf numFmtId="164" fontId="10" fillId="0" borderId="17" xfId="0" applyNumberFormat="1" applyFont="1" applyBorder="1" applyAlignment="1">
      <alignment horizontal="center" vertical="top"/>
    </xf>
    <xf numFmtId="164" fontId="10" fillId="0" borderId="2" xfId="0" applyNumberFormat="1" applyFont="1" applyBorder="1" applyAlignment="1">
      <alignment horizontal="right"/>
    </xf>
    <xf numFmtId="164" fontId="10" fillId="0" borderId="7" xfId="0" applyNumberFormat="1" applyFont="1" applyBorder="1" applyAlignment="1">
      <alignment horizontal="center" vertical="center"/>
    </xf>
    <xf numFmtId="164" fontId="10" fillId="0" borderId="18" xfId="0" applyNumberFormat="1" applyFont="1" applyBorder="1" applyAlignment="1">
      <alignment horizontal="center" vertical="center"/>
    </xf>
    <xf numFmtId="164" fontId="10" fillId="0" borderId="19" xfId="0" applyNumberFormat="1" applyFont="1" applyBorder="1" applyAlignment="1">
      <alignment horizontal="center" vertical="center"/>
    </xf>
    <xf numFmtId="164" fontId="10" fillId="0" borderId="6" xfId="0" applyNumberFormat="1" applyFont="1" applyBorder="1" applyAlignment="1">
      <alignment horizontal="right"/>
    </xf>
    <xf numFmtId="167" fontId="10" fillId="0" borderId="1" xfId="0" applyNumberFormat="1" applyFont="1" applyBorder="1" applyAlignment="1">
      <alignment horizontal="center"/>
    </xf>
    <xf numFmtId="1" fontId="3" fillId="9" borderId="3" xfId="0" applyNumberFormat="1" applyFont="1" applyFill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4" fillId="0" borderId="7" xfId="0" applyFont="1" applyBorder="1" applyAlignment="1">
      <alignment horizontal="center"/>
    </xf>
    <xf numFmtId="169" fontId="0" fillId="0" borderId="0" xfId="5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0" xfId="0" applyFont="1"/>
    <xf numFmtId="1" fontId="4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1" fontId="4" fillId="7" borderId="3" xfId="0" applyNumberFormat="1" applyFont="1" applyFill="1" applyBorder="1" applyAlignment="1">
      <alignment horizontal="center" vertical="center"/>
    </xf>
    <xf numFmtId="1" fontId="7" fillId="3" borderId="3" xfId="0" applyNumberFormat="1" applyFont="1" applyFill="1" applyBorder="1" applyAlignment="1">
      <alignment horizontal="center" vertical="center"/>
    </xf>
    <xf numFmtId="0" fontId="10" fillId="4" borderId="3" xfId="0" applyFont="1" applyFill="1" applyBorder="1"/>
    <xf numFmtId="1" fontId="10" fillId="0" borderId="3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0" fillId="2" borderId="0" xfId="0" applyFont="1" applyFill="1"/>
    <xf numFmtId="164" fontId="11" fillId="3" borderId="3" xfId="0" applyNumberFormat="1" applyFont="1" applyFill="1" applyBorder="1" applyAlignment="1">
      <alignment horizontal="center" vertical="center"/>
    </xf>
    <xf numFmtId="0" fontId="10" fillId="2" borderId="3" xfId="0" applyFont="1" applyFill="1" applyBorder="1"/>
    <xf numFmtId="0" fontId="10" fillId="2" borderId="2" xfId="0" applyFont="1" applyFill="1" applyBorder="1"/>
    <xf numFmtId="164" fontId="7" fillId="3" borderId="1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10" fillId="15" borderId="0" xfId="0" applyFont="1" applyFill="1"/>
    <xf numFmtId="0" fontId="10" fillId="2" borderId="9" xfId="0" applyFont="1" applyFill="1" applyBorder="1"/>
    <xf numFmtId="164" fontId="11" fillId="3" borderId="1" xfId="0" applyNumberFormat="1" applyFont="1" applyFill="1" applyBorder="1" applyAlignment="1">
      <alignment horizontal="center" vertical="center"/>
    </xf>
    <xf numFmtId="0" fontId="3" fillId="0" borderId="10" xfId="0" applyFont="1" applyBorder="1"/>
    <xf numFmtId="1" fontId="4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/>
    </xf>
    <xf numFmtId="0" fontId="10" fillId="10" borderId="3" xfId="0" applyFont="1" applyFill="1" applyBorder="1" applyAlignment="1">
      <alignment horizontal="center"/>
    </xf>
    <xf numFmtId="164" fontId="18" fillId="0" borderId="3" xfId="0" applyNumberFormat="1" applyFont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10" fillId="10" borderId="3" xfId="0" applyFont="1" applyFill="1" applyBorder="1"/>
    <xf numFmtId="1" fontId="4" fillId="0" borderId="1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right"/>
    </xf>
    <xf numFmtId="1" fontId="7" fillId="3" borderId="1" xfId="0" applyNumberFormat="1" applyFont="1" applyFill="1" applyBorder="1" applyAlignment="1">
      <alignment horizontal="center" vertical="center"/>
    </xf>
    <xf numFmtId="0" fontId="3" fillId="4" borderId="3" xfId="0" applyFont="1" applyFill="1" applyBorder="1"/>
    <xf numFmtId="3" fontId="3" fillId="0" borderId="3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" fontId="3" fillId="0" borderId="0" xfId="0" applyNumberFormat="1" applyFont="1" applyAlignment="1">
      <alignment horizontal="left"/>
    </xf>
    <xf numFmtId="0" fontId="3" fillId="5" borderId="0" xfId="0" applyFont="1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" fontId="7" fillId="7" borderId="1" xfId="0" applyNumberFormat="1" applyFont="1" applyFill="1" applyBorder="1" applyAlignment="1">
      <alignment horizontal="center" vertical="center"/>
    </xf>
  </cellXfs>
  <cellStyles count="6">
    <cellStyle name="Heading" xfId="1" xr:uid="{00000000-0005-0000-0000-000000000000}"/>
    <cellStyle name="Heading1" xfId="2" xr:uid="{00000000-0005-0000-0000-000001000000}"/>
    <cellStyle name="Milliers" xfId="5" builtinId="3"/>
    <cellStyle name="Normal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colors>
    <mruColors>
      <color rgb="FF00CC00"/>
      <color rgb="FF41DF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usernames" Target="revisions/userNames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revisions/_rels/revisionHeaders.xml.rels><?xml version="1.0" encoding="UTF-8" standalone="yes"?>
<Relationships xmlns="http://schemas.openxmlformats.org/package/2006/relationships"><Relationship Id="rId1725" Type="http://schemas.openxmlformats.org/officeDocument/2006/relationships/revisionLog" Target="revisionLog6.xml"/><Relationship Id="rId1724" Type="http://schemas.openxmlformats.org/officeDocument/2006/relationships/revisionLog" Target="revisionLog5.xml"/><Relationship Id="rId1729" Type="http://schemas.openxmlformats.org/officeDocument/2006/relationships/revisionLog" Target="revisionLog3.xml"/><Relationship Id="rId1723" Type="http://schemas.openxmlformats.org/officeDocument/2006/relationships/revisionLog" Target="revisionLog4.xml"/><Relationship Id="rId1728" Type="http://schemas.openxmlformats.org/officeDocument/2006/relationships/revisionLog" Target="revisionLog9.xml"/><Relationship Id="rId1727" Type="http://schemas.openxmlformats.org/officeDocument/2006/relationships/revisionLog" Target="revisionLog8.xml"/><Relationship Id="rId1722" Type="http://schemas.openxmlformats.org/officeDocument/2006/relationships/revisionLog" Target="revisionLog2.xml"/><Relationship Id="rId1730" Type="http://schemas.openxmlformats.org/officeDocument/2006/relationships/revisionLog" Target="revisionLog10.xml"/><Relationship Id="rId1721" Type="http://schemas.openxmlformats.org/officeDocument/2006/relationships/revisionLog" Target="revisionLog1.xml"/><Relationship Id="rId1726" Type="http://schemas.openxmlformats.org/officeDocument/2006/relationships/revisionLog" Target="revisionLog7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07609FF-2498-45D3-B834-BE2185AA61FE}" diskRevisions="1" revisionId="12224">
  <header guid="{EE43918B-8E50-46FD-8065-A50C54DC6162}" dateTime="2025-03-07T10:02:42" maxSheetId="4" userName="SANSONE Katia" r:id="rId1721">
    <sheetIdMap count="3">
      <sheetId val="3"/>
      <sheetId val="1"/>
      <sheetId val="2"/>
    </sheetIdMap>
  </header>
  <header guid="{D3F8B502-3405-45BA-A352-982430D1C681}" dateTime="2025-03-11T15:19:31" maxSheetId="4" userName="Antoine Malbranque" r:id="rId1722" minRId="12188" maxRId="12222">
    <sheetIdMap count="3">
      <sheetId val="3"/>
      <sheetId val="1"/>
      <sheetId val="2"/>
    </sheetIdMap>
  </header>
  <header guid="{72C9D40C-5960-4D38-86C7-D4A06485EB9C}" dateTime="2025-03-12T16:41:06" maxSheetId="4" userName="BUTTAFOCO Laurence" r:id="rId1723">
    <sheetIdMap count="3">
      <sheetId val="3"/>
      <sheetId val="1"/>
      <sheetId val="2"/>
    </sheetIdMap>
  </header>
  <header guid="{CA6BA207-A80F-417F-B44D-A696DA06BD61}" dateTime="2025-03-12T16:45:08" maxSheetId="4" userName="BUTTAFOCO Laurence" r:id="rId1724">
    <sheetIdMap count="3">
      <sheetId val="3"/>
      <sheetId val="1"/>
      <sheetId val="2"/>
    </sheetIdMap>
  </header>
  <header guid="{6D81A2EA-9033-46E1-8C49-75B9C1277BDB}" dateTime="2025-03-12T16:46:52" maxSheetId="4" userName="BUTTAFOCO Laurence" r:id="rId1725">
    <sheetIdMap count="3">
      <sheetId val="3"/>
      <sheetId val="1"/>
      <sheetId val="2"/>
    </sheetIdMap>
  </header>
  <header guid="{10827DE8-0814-4CF1-8C73-33376B21AEE7}" dateTime="2025-03-12T16:48:44" maxSheetId="4" userName="BUTTAFOCO Laurence" r:id="rId1726" minRId="12223" maxRId="12224">
    <sheetIdMap count="3">
      <sheetId val="3"/>
      <sheetId val="1"/>
      <sheetId val="2"/>
    </sheetIdMap>
  </header>
  <header guid="{4BD00F40-F2DA-4DB9-8C34-294B33B22791}" dateTime="2025-03-28T14:11:21" maxSheetId="4" userName="SANSONE Katia" r:id="rId1727">
    <sheetIdMap count="3">
      <sheetId val="3"/>
      <sheetId val="1"/>
      <sheetId val="2"/>
    </sheetIdMap>
  </header>
  <header guid="{38721992-79ED-45F4-88BA-4CD3C026ABCC}" dateTime="2025-03-31T11:50:30" maxSheetId="4" userName="BUTTAFOCO Laurence" r:id="rId1728">
    <sheetIdMap count="3">
      <sheetId val="3"/>
      <sheetId val="1"/>
      <sheetId val="2"/>
    </sheetIdMap>
  </header>
  <header guid="{302EA14B-90FB-41C1-B8B2-2E1DC2F234E8}" dateTime="2025-04-02T11:30:31" maxSheetId="4" userName="BUTTAFOCO Laurence" r:id="rId1729">
    <sheetIdMap count="3">
      <sheetId val="3"/>
      <sheetId val="1"/>
      <sheetId val="2"/>
    </sheetIdMap>
  </header>
  <header guid="{007609FF-2498-45D3-B834-BE2185AA61FE}" dateTime="2025-04-04T10:14:53" maxSheetId="4" userName="BUTTAFOCO Laurence" r:id="rId1730">
    <sheetIdMap count="3">
      <sheetId val="3"/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2" cell="E2" guid="{49E9C4C4-5165-40B6-A616-568C97385F58}" alwaysShow="1" author="BUTTAFOCO Laurence" oldLength="53" newLength="44"/>
  <rcv guid="{4261CD67-5D65-4DD2-973C-86E18F346915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3" cell="C17" guid="{00000000-0000-0000-0000-000000000000}" action="delete" alwaysShow="1" author="EMERIC DEREINE"/>
  <rcv guid="{00143794-1634-4728-804C-0864C5535C6C}" action="delete"/>
  <rcv guid="{00143794-1634-4728-804C-0864C5535C6C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188" sId="2" ref="A1:XFD1" action="deleteRow">
    <rfmt sheetId="2" xfDxf="1" sqref="A1:XFD1" start="0" length="0"/>
    <rcc rId="0" sId="2" dxf="1">
      <nc r="A1" t="inlineStr">
        <is>
          <t>Fréquentation restaurant FONTENOY en 2024</t>
        </is>
      </nc>
      <ndxf>
        <font>
          <b/>
          <sz val="14"/>
          <color theme="1"/>
          <name val="Calibri"/>
          <family val="2"/>
          <scheme val="minor"/>
        </font>
        <alignment horizontal="left" vertical="top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12189" sId="2" ref="A1:XFD1" action="deleteRow">
    <rfmt sheetId="2" xfDxf="1" sqref="A1:XFD1" start="0" length="0"/>
    <rfmt sheetId="2" sqref="A1" start="0" length="0">
      <dxf>
        <font>
          <b/>
          <sz val="14"/>
          <color theme="1"/>
          <name val="Calibri"/>
          <family val="2"/>
          <scheme val="minor"/>
        </font>
        <alignment horizontal="center" vertical="top"/>
        <border outline="0">
          <bottom style="thin">
            <color indexed="64"/>
          </bottom>
        </border>
      </dxf>
    </rfmt>
    <rfmt sheetId="2" sqref="B1" start="0" length="0">
      <dxf>
        <font>
          <b/>
          <sz val="14"/>
          <color theme="1"/>
          <name val="Calibri"/>
          <family val="2"/>
          <scheme val="minor"/>
        </font>
        <alignment horizontal="center" vertical="top"/>
        <border outline="0">
          <bottom style="thin">
            <color indexed="64"/>
          </bottom>
        </border>
      </dxf>
    </rfmt>
    <rfmt sheetId="2" sqref="C1" start="0" length="0">
      <dxf>
        <font>
          <b/>
          <sz val="14"/>
          <color theme="1"/>
          <name val="Calibri"/>
          <family val="2"/>
          <scheme val="minor"/>
        </font>
        <alignment horizontal="center" vertical="top"/>
        <border outline="0">
          <bottom style="thin">
            <color indexed="64"/>
          </bottom>
        </border>
      </dxf>
    </rfmt>
    <rfmt sheetId="2" sqref="D1" start="0" length="0">
      <dxf>
        <font>
          <b/>
          <sz val="14"/>
          <color theme="1"/>
          <name val="Calibri"/>
          <family val="2"/>
          <scheme val="minor"/>
        </font>
        <alignment horizontal="center" vertical="top"/>
        <border outline="0">
          <bottom style="thin">
            <color indexed="64"/>
          </bottom>
        </border>
      </dxf>
    </rfmt>
  </rrc>
  <rrc rId="12190" sId="2" ref="A1:XFD1" action="deleteRow">
    <rfmt sheetId="2" xfDxf="1" sqref="A1:XFD1" start="0" length="0"/>
    <rcc rId="0" sId="2" dxf="1">
      <nc r="A1" t="inlineStr">
        <is>
          <t>Mois</t>
        </is>
      </nc>
      <ndxf>
        <font>
          <b/>
          <sz val="11"/>
          <color theme="1"/>
          <name val="Calibri"/>
          <family val="2"/>
          <scheme val="minor"/>
        </font>
        <fill>
          <patternFill patternType="solid">
            <bgColor theme="0" tint="-0.14999847407452621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" t="inlineStr">
        <is>
          <t>Nb couverts</t>
        </is>
      </nc>
      <ndxf>
        <font>
          <b/>
          <sz val="11"/>
          <color theme="1"/>
          <name val="Calibri"/>
          <family val="2"/>
          <scheme val="minor"/>
        </font>
        <fill>
          <patternFill patternType="solid">
            <bgColor theme="0" tint="-0.14999847407452621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1" t="inlineStr">
        <is>
          <t>Nb jours ouverts</t>
        </is>
      </nc>
      <ndxf>
        <font>
          <b/>
          <sz val="11"/>
          <color theme="1"/>
          <name val="Calibri"/>
          <family val="2"/>
          <scheme val="minor"/>
        </font>
        <fill>
          <patternFill patternType="solid">
            <bgColor theme="0" tint="-0.14999847407452621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D1" t="inlineStr">
        <is>
          <t>Moyenne par jour</t>
        </is>
      </nc>
      <ndxf>
        <font>
          <b/>
          <sz val="11"/>
          <color theme="1"/>
          <name val="Calibri"/>
          <family val="2"/>
          <scheme val="minor"/>
        </font>
        <numFmt numFmtId="169" formatCode="_-* #,##0.0_-;\-* #,##0.0_-;_-* &quot;-&quot;??_-;_-@_-"/>
        <fill>
          <patternFill patternType="solid">
            <bgColor theme="0" tint="-0.14999847407452621"/>
          </patternFill>
        </fill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91" sId="2" ref="A1:XFD1" action="deleteRow">
    <undo index="65535" exp="area" dr="C1:C13" r="C14" sId="2"/>
    <undo index="65535" exp="area" dr="B1:B13" r="B14" sId="2"/>
    <rfmt sheetId="2" xfDxf="1" sqref="A1:XFD1" start="0" length="0"/>
    <rcc rId="0" sId="2" dxf="1">
      <nc r="A1" t="inlineStr">
        <is>
          <t>Janvier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">
        <v>171</v>
      </nc>
      <n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1">
        <v>18</v>
      </nc>
      <n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D1">
        <f>B1/C1</f>
      </nc>
      <ndxf>
        <numFmt numFmtId="170" formatCode="#,##0_ ;\-#,##0\ 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92" sId="2" ref="A1:XFD1" action="deleteRow">
    <undo index="65535" exp="area" dr="C1:C12" r="C13" sId="2"/>
    <undo index="65535" exp="area" dr="B1:B12" r="B13" sId="2"/>
    <rfmt sheetId="2" xfDxf="1" sqref="A1:XFD1" start="0" length="0"/>
    <rcc rId="0" sId="2" dxf="1">
      <nc r="A1" t="inlineStr">
        <is>
          <t>Février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">
        <v>153</v>
      </nc>
      <n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1">
        <v>17</v>
      </nc>
      <n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D1">
        <f>B1/C1</f>
      </nc>
      <ndxf>
        <numFmt numFmtId="170" formatCode="#,##0_ ;\-#,##0\ 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93" sId="2" ref="A1:XFD1" action="deleteRow">
    <undo index="65535" exp="area" dr="C1:C11" r="C12" sId="2"/>
    <undo index="65535" exp="area" dr="B1:B11" r="B12" sId="2"/>
    <rfmt sheetId="2" xfDxf="1" sqref="A1:XFD1" start="0" length="0"/>
    <rcc rId="0" sId="2" dxf="1">
      <nc r="A1" t="inlineStr">
        <is>
          <t>Mars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">
        <v>230</v>
      </nc>
      <n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1">
        <v>16</v>
      </nc>
      <n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D1">
        <f>B1/C1</f>
      </nc>
      <ndxf>
        <numFmt numFmtId="170" formatCode="#,##0_ ;\-#,##0\ 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94" sId="2" ref="A1:XFD1" action="deleteRow">
    <undo index="65535" exp="area" dr="C1:C10" r="C11" sId="2"/>
    <undo index="65535" exp="area" dr="B1:B10" r="B11" sId="2"/>
    <rfmt sheetId="2" xfDxf="1" sqref="A1:XFD1" start="0" length="0"/>
    <rcc rId="0" sId="2" dxf="1">
      <nc r="A1" t="inlineStr">
        <is>
          <t>Avril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">
        <v>109</v>
      </nc>
      <n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1">
        <v>17</v>
      </nc>
      <n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D1">
        <f>B1/C1</f>
      </nc>
      <ndxf>
        <numFmt numFmtId="170" formatCode="#,##0_ ;\-#,##0\ 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95" sId="2" ref="A1:XFD1" action="deleteRow">
    <undo index="65535" exp="area" dr="C1:C9" r="C10" sId="2"/>
    <undo index="65535" exp="area" dr="B1:B9" r="B10" sId="2"/>
    <rfmt sheetId="2" xfDxf="1" sqref="A1:XFD1" start="0" length="0"/>
    <rcc rId="0" sId="2" dxf="1">
      <nc r="A1" t="inlineStr">
        <is>
          <t>Mai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">
        <v>206</v>
      </nc>
      <n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1">
        <v>14</v>
      </nc>
      <n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D1">
        <f>B1/C1</f>
      </nc>
      <ndxf>
        <numFmt numFmtId="170" formatCode="#,##0_ ;\-#,##0\ 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96" sId="2" ref="A1:XFD1" action="deleteRow">
    <undo index="65535" exp="area" dr="C1:C8" r="C9" sId="2"/>
    <undo index="65535" exp="area" dr="B1:B8" r="B9" sId="2"/>
    <rfmt sheetId="2" xfDxf="1" sqref="A1:XFD1" start="0" length="0"/>
    <rcc rId="0" sId="2" dxf="1">
      <nc r="A1" t="inlineStr">
        <is>
          <t>Juin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">
        <v>253</v>
      </nc>
      <n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1">
        <v>16</v>
      </nc>
      <n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D1">
        <f>B1/C1</f>
      </nc>
      <ndxf>
        <numFmt numFmtId="170" formatCode="#,##0_ ;\-#,##0\ 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97" sId="2" ref="A1:XFD1" action="deleteRow">
    <undo index="65535" exp="area" dr="C1:C7" r="C8" sId="2"/>
    <undo index="65535" exp="area" dr="B1:B7" r="B8" sId="2"/>
    <rfmt sheetId="2" xfDxf="1" sqref="A1:XFD1" start="0" length="0"/>
    <rcc rId="0" sId="2" dxf="1">
      <nc r="A1" t="inlineStr">
        <is>
          <t>Juillet</t>
        </is>
      </nc>
      <ndxf>
        <fill>
          <patternFill patternType="solid">
            <bgColor theme="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">
        <v>78</v>
      </nc>
      <ndxf>
        <fill>
          <patternFill patternType="solid">
            <bgColor theme="2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1">
        <v>19</v>
      </nc>
      <ndxf>
        <fill>
          <patternFill patternType="solid">
            <bgColor theme="2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D1">
        <f>B1/C1</f>
      </nc>
      <ndxf>
        <numFmt numFmtId="170" formatCode="#,##0_ ;\-#,##0\ "/>
        <fill>
          <patternFill patternType="solid">
            <bgColor theme="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98" sId="2" ref="A1:XFD1" action="deleteRow">
    <undo index="65535" exp="area" dr="C1:C6" r="C7" sId="2"/>
    <undo index="65535" exp="area" dr="B1:B6" r="B7" sId="2"/>
    <rfmt sheetId="2" xfDxf="1" sqref="A1:XFD1" start="0" length="0"/>
    <rcc rId="0" sId="2" dxf="1">
      <nc r="A1" t="inlineStr">
        <is>
          <t>Août</t>
        </is>
      </nc>
      <ndxf>
        <fill>
          <patternFill patternType="solid">
            <bgColor theme="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">
        <v>0</v>
      </nc>
      <ndxf>
        <fill>
          <patternFill patternType="solid">
            <bgColor theme="2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1">
        <v>0</v>
      </nc>
      <ndxf>
        <fill>
          <patternFill patternType="solid">
            <bgColor theme="2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D1" t="inlineStr">
        <is>
          <t>-</t>
        </is>
      </nc>
      <ndxf>
        <numFmt numFmtId="170" formatCode="#,##0_ ;\-#,##0\ "/>
        <fill>
          <patternFill patternType="solid">
            <bgColor theme="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99" sId="2" ref="A1:XFD1" action="deleteRow">
    <undo index="65535" exp="area" dr="C1:C5" r="C6" sId="2"/>
    <undo index="65535" exp="area" dr="B1:B5" r="B6" sId="2"/>
    <rfmt sheetId="2" xfDxf="1" sqref="A1:XFD1" start="0" length="0"/>
    <rcc rId="0" sId="2" dxf="1">
      <nc r="A1" t="inlineStr">
        <is>
          <t>Septembre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">
        <v>147</v>
      </nc>
      <n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1">
        <v>17</v>
      </nc>
      <n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D1">
        <f>B1/C1</f>
      </nc>
      <ndxf>
        <numFmt numFmtId="170" formatCode="#,##0_ ;\-#,##0\ 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200" sId="2" ref="A1:XFD1" action="deleteRow">
    <undo index="65535" exp="area" dr="C1:C4" r="C5" sId="2"/>
    <undo index="65535" exp="area" dr="B1:B4" r="B5" sId="2"/>
    <rfmt sheetId="2" xfDxf="1" sqref="A1:XFD1" start="0" length="0"/>
    <rcc rId="0" sId="2" dxf="1">
      <nc r="A1" t="inlineStr">
        <is>
          <t>Octobre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">
        <v>75</v>
      </nc>
      <n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1">
        <v>19</v>
      </nc>
      <n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D1">
        <f>B1/C1</f>
      </nc>
      <ndxf>
        <numFmt numFmtId="170" formatCode="#,##0_ ;\-#,##0\ 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201" sId="2" ref="A1:XFD1" action="deleteRow">
    <undo index="65535" exp="area" dr="C1:C3" r="C4" sId="2"/>
    <undo index="65535" exp="area" dr="B1:B3" r="B4" sId="2"/>
    <rfmt sheetId="2" xfDxf="1" sqref="A1:XFD1" start="0" length="0"/>
    <rcc rId="0" sId="2" dxf="1">
      <nc r="A1" t="inlineStr">
        <is>
          <t>Novembre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">
        <v>120</v>
      </nc>
      <n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1">
        <v>15</v>
      </nc>
      <n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D1">
        <f>B1/C1</f>
      </nc>
      <ndxf>
        <numFmt numFmtId="170" formatCode="#,##0_ ;\-#,##0\ 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202" sId="2" ref="A1:XFD1" action="deleteRow">
    <undo index="65535" exp="area" dr="C1:C2" r="C3" sId="2"/>
    <undo index="65535" exp="area" dr="B1:B2" r="B3" sId="2"/>
    <rfmt sheetId="2" xfDxf="1" sqref="A1:XFD1" start="0" length="0"/>
    <rcc rId="0" sId="2" dxf="1">
      <nc r="A1" t="inlineStr">
        <is>
          <t>Décembre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">
        <v>262</v>
      </nc>
      <n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1">
        <v>12</v>
      </nc>
      <ndxf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D1">
        <f>B1/C1</f>
      </nc>
      <ndxf>
        <numFmt numFmtId="170" formatCode="#,##0_ ;\-#,##0\ 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203" sId="2" ref="A1:XFD1" action="deleteRow">
    <undo index="65535" exp="area" dr="C1" r="C2" sId="2"/>
    <undo index="65535" exp="area" dr="B1" r="B2" sId="2"/>
    <rfmt sheetId="2" xfDxf="1" sqref="A1:XFD1" start="0" length="0"/>
    <rfmt sheetId="2" sqref="B1" start="0" length="0">
      <dxf>
        <alignment horizontal="center" vertical="top"/>
      </dxf>
    </rfmt>
    <rfmt sheetId="2" sqref="C1" start="0" length="0">
      <dxf>
        <alignment horizontal="center" vertical="top"/>
      </dxf>
    </rfmt>
    <rfmt sheetId="2" s="1" sqref="D1" start="0" length="0">
      <dxf>
        <numFmt numFmtId="170" formatCode="#,##0_ ;\-#,##0\ "/>
        <alignment horizontal="center" vertical="center"/>
      </dxf>
    </rfmt>
  </rrc>
  <rrc rId="12204" sId="2" ref="A1:XFD1" action="deleteRow">
    <rfmt sheetId="2" xfDxf="1" sqref="A1:XFD1" start="0" length="0"/>
    <rcc rId="0" sId="2" dxf="1">
      <nc r="A1" t="inlineStr">
        <is>
          <t>Total 2024</t>
        </is>
      </nc>
      <ndxf>
        <font>
          <b/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">
        <f>SUM(#REF!)</f>
      </nc>
      <ndxf>
        <font>
          <b/>
          <sz val="11"/>
          <color theme="1"/>
          <name val="Calibri"/>
          <family val="2"/>
          <scheme val="minor"/>
        </font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C1">
        <f>SUM(#REF!)</f>
      </nc>
      <ndxf>
        <font>
          <b/>
          <sz val="11"/>
          <color theme="1"/>
          <name val="Calibri"/>
          <family val="2"/>
          <scheme val="minor"/>
        </font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D1">
        <f>B1/C1</f>
      </nc>
      <ndxf>
        <font>
          <b/>
          <sz val="11"/>
          <color theme="1"/>
          <name val="Calibri"/>
          <family val="2"/>
          <scheme val="minor"/>
        </font>
        <numFmt numFmtId="170" formatCode="#,##0_ ;\-#,##0\ 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205" sId="2" ref="A1:XFD1" action="deleteRow">
    <rfmt sheetId="2" xfDxf="1" sqref="A1:XFD1" start="0" length="0"/>
    <rfmt sheetId="2" s="1" sqref="D1" start="0" length="0">
      <dxf>
        <numFmt numFmtId="169" formatCode="_-* #,##0.0_-;\-* #,##0.0_-;_-* &quot;-&quot;??_-;_-@_-"/>
        <alignment horizontal="center"/>
      </dxf>
    </rfmt>
  </rrc>
  <rrc rId="12206" sId="2" ref="A1:XFD1" action="deleteRow">
    <rfmt sheetId="2" xfDxf="1" sqref="A1:XFD1" start="0" length="0"/>
    <rfmt sheetId="2" s="1" sqref="D1" start="0" length="0">
      <dxf>
        <numFmt numFmtId="169" formatCode="_-* #,##0.0_-;\-* #,##0.0_-;_-* &quot;-&quot;??_-;_-@_-"/>
        <alignment horizontal="center"/>
      </dxf>
    </rfmt>
  </rrc>
  <rrc rId="12207" sId="2" ref="A1:XFD1" action="deleteRow">
    <rfmt sheetId="2" xfDxf="1" sqref="A1:XFD1" start="0" length="0"/>
    <rfmt sheetId="2" s="1" sqref="D1" start="0" length="0">
      <dxf>
        <numFmt numFmtId="169" formatCode="_-* #,##0.0_-;\-* #,##0.0_-;_-* &quot;-&quot;??_-;_-@_-"/>
        <alignment horizontal="center"/>
      </dxf>
    </rfmt>
  </rrc>
  <rrc rId="12208" sId="2" ref="A1:XFD1" action="deleteRow">
    <rfmt sheetId="2" xfDxf="1" sqref="A1:XFD1" start="0" length="0"/>
    <rfmt sheetId="2" s="1" sqref="D1" start="0" length="0">
      <dxf>
        <numFmt numFmtId="169" formatCode="_-* #,##0.0_-;\-* #,##0.0_-;_-* &quot;-&quot;??_-;_-@_-"/>
        <alignment horizontal="center"/>
      </dxf>
    </rfmt>
  </rrc>
  <rrc rId="12209" sId="2" ref="A1:XFD1" action="deleteRow">
    <rfmt sheetId="2" xfDxf="1" sqref="A1:XFD1" start="0" length="0"/>
    <rfmt sheetId="2" s="1" sqref="D1" start="0" length="0">
      <dxf>
        <numFmt numFmtId="169" formatCode="_-* #,##0.0_-;\-* #,##0.0_-;_-* &quot;-&quot;??_-;_-@_-"/>
        <alignment horizontal="center"/>
      </dxf>
    </rfmt>
  </rrc>
  <rrc rId="12210" sId="2" ref="A1:XFD1" action="deleteRow">
    <rfmt sheetId="2" xfDxf="1" sqref="A1:XFD1" start="0" length="0"/>
    <rfmt sheetId="2" s="1" sqref="D1" start="0" length="0">
      <dxf>
        <numFmt numFmtId="169" formatCode="_-* #,##0.0_-;\-* #,##0.0_-;_-* &quot;-&quot;??_-;_-@_-"/>
        <alignment horizontal="center"/>
      </dxf>
    </rfmt>
  </rrc>
  <rrc rId="12211" sId="2" ref="A1:XFD1" action="deleteRow">
    <rfmt sheetId="2" xfDxf="1" sqref="A1:XFD1" start="0" length="0"/>
    <rfmt sheetId="2" s="1" sqref="D1" start="0" length="0">
      <dxf>
        <numFmt numFmtId="169" formatCode="_-* #,##0.0_-;\-* #,##0.0_-;_-* &quot;-&quot;??_-;_-@_-"/>
        <alignment horizontal="center"/>
      </dxf>
    </rfmt>
  </rrc>
  <rrc rId="12212" sId="2" ref="A1:XFD1" action="deleteRow">
    <rfmt sheetId="2" xfDxf="1" sqref="A1:XFD1" start="0" length="0"/>
    <rfmt sheetId="2" s="1" sqref="D1" start="0" length="0">
      <dxf>
        <numFmt numFmtId="169" formatCode="_-* #,##0.0_-;\-* #,##0.0_-;_-* &quot;-&quot;??_-;_-@_-"/>
        <alignment horizontal="center"/>
      </dxf>
    </rfmt>
  </rrc>
  <rrc rId="12213" sId="2" ref="A1:XFD1" action="deleteRow">
    <rfmt sheetId="2" xfDxf="1" sqref="A1:XFD1" start="0" length="0"/>
    <rfmt sheetId="2" s="1" sqref="D1" start="0" length="0">
      <dxf>
        <numFmt numFmtId="169" formatCode="_-* #,##0.0_-;\-* #,##0.0_-;_-* &quot;-&quot;??_-;_-@_-"/>
        <alignment horizontal="center"/>
      </dxf>
    </rfmt>
  </rrc>
  <rrc rId="12214" sId="2" ref="A1:XFD1" action="deleteRow">
    <rfmt sheetId="2" xfDxf="1" sqref="A1:XFD1" start="0" length="0"/>
    <rfmt sheetId="2" s="1" sqref="D1" start="0" length="0">
      <dxf>
        <numFmt numFmtId="169" formatCode="_-* #,##0.0_-;\-* #,##0.0_-;_-* &quot;-&quot;??_-;_-@_-"/>
        <alignment horizontal="center"/>
      </dxf>
    </rfmt>
  </rrc>
  <rrc rId="12215" sId="2" ref="A1:XFD1" action="deleteRow">
    <rfmt sheetId="2" xfDxf="1" sqref="A1:XFD1" start="0" length="0"/>
    <rfmt sheetId="2" s="1" sqref="D1" start="0" length="0">
      <dxf>
        <numFmt numFmtId="169" formatCode="_-* #,##0.0_-;\-* #,##0.0_-;_-* &quot;-&quot;??_-;_-@_-"/>
        <alignment horizontal="center"/>
      </dxf>
    </rfmt>
  </rrc>
  <rrc rId="12216" sId="2" ref="A1:XFD1" action="deleteRow">
    <rfmt sheetId="2" xfDxf="1" sqref="A1:XFD1" start="0" length="0"/>
    <rfmt sheetId="2" s="1" sqref="D1" start="0" length="0">
      <dxf>
        <numFmt numFmtId="169" formatCode="_-* #,##0.0_-;\-* #,##0.0_-;_-* &quot;-&quot;??_-;_-@_-"/>
        <alignment horizontal="center"/>
      </dxf>
    </rfmt>
  </rrc>
  <rrc rId="12217" sId="2" ref="A1:XFD1" action="deleteRow">
    <rfmt sheetId="2" xfDxf="1" sqref="A1:XFD1" start="0" length="0"/>
    <rfmt sheetId="2" s="1" sqref="D1" start="0" length="0">
      <dxf>
        <numFmt numFmtId="169" formatCode="_-* #,##0.0_-;\-* #,##0.0_-;_-* &quot;-&quot;??_-;_-@_-"/>
        <alignment horizontal="center"/>
      </dxf>
    </rfmt>
  </rrc>
  <rrc rId="12218" sId="2" ref="A1:XFD1" action="deleteRow">
    <rfmt sheetId="2" xfDxf="1" sqref="A1:XFD1" start="0" length="0"/>
    <rfmt sheetId="2" s="1" sqref="D1" start="0" length="0">
      <dxf>
        <numFmt numFmtId="169" formatCode="_-* #,##0.0_-;\-* #,##0.0_-;_-* &quot;-&quot;??_-;_-@_-"/>
        <alignment horizontal="center"/>
      </dxf>
    </rfmt>
  </rrc>
  <rrc rId="12219" sId="2" ref="A1:XFD1" action="deleteRow">
    <rfmt sheetId="2" xfDxf="1" sqref="A1:XFD1" start="0" length="0"/>
    <rfmt sheetId="2" s="1" sqref="D1" start="0" length="0">
      <dxf>
        <numFmt numFmtId="169" formatCode="_-* #,##0.0_-;\-* #,##0.0_-;_-* &quot;-&quot;??_-;_-@_-"/>
        <alignment horizontal="center"/>
      </dxf>
    </rfmt>
  </rrc>
  <rrc rId="12220" sId="2" ref="A1:XFD1" action="deleteRow">
    <rfmt sheetId="2" xfDxf="1" sqref="A1:XFD1" start="0" length="0"/>
    <rfmt sheetId="2" s="1" sqref="D1" start="0" length="0">
      <dxf>
        <numFmt numFmtId="169" formatCode="_-* #,##0.0_-;\-* #,##0.0_-;_-* &quot;-&quot;??_-;_-@_-"/>
        <alignment horizontal="center"/>
      </dxf>
    </rfmt>
  </rrc>
  <rrc rId="12221" sId="2" ref="A1:XFD1" action="deleteRow">
    <rfmt sheetId="2" xfDxf="1" sqref="A1:XFD1" start="0" length="0"/>
    <rfmt sheetId="2" s="1" sqref="D1" start="0" length="0">
      <dxf>
        <numFmt numFmtId="169" formatCode="_-* #,##0.0_-;\-* #,##0.0_-;_-* &quot;-&quot;??_-;_-@_-"/>
        <alignment horizontal="center"/>
      </dxf>
    </rfmt>
  </rrc>
  <rsnm rId="12222" sheetId="2" oldName="[041-24 CCTP Annexe 1 Données de fréquentation relu KS 07 03 25.xlsx]Le Fontenoy" newName="[041-24 CCTP Annexe 1 Données de fréquentation relu KS 07 03 25.xlsx]S.O.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2" cell="F7" guid="{00000000-0000-0000-0000-000000000000}" action="delete" alwaysShow="1" author="BUTTAFOCO Laurence"/>
  <rcv guid="{00143794-1634-4728-804C-0864C5535C6C}" action="delete"/>
  <rcv guid="{00143794-1634-4728-804C-0864C5535C6C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2" cell="F7" guid="{CBA5F09D-60CD-4AD5-A141-7942A2A11A45}" alwaysShow="1" author="BUTTAFOCO Laurence" newLength="53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00143794-1634-4728-804C-0864C5535C6C}" action="delete"/>
  <rcv guid="{00143794-1634-4728-804C-0864C5535C6C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00143794-1634-4728-804C-0864C5535C6C}" action="delete"/>
  <rcv guid="{00143794-1634-4728-804C-0864C5535C6C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00143794-1634-4728-804C-0864C5535C6C}" action="delete"/>
  <rcv guid="{00143794-1634-4728-804C-0864C5535C6C}" action="add"/>
  <rsnm rId="12223" sheetId="3" oldName="[041-24 CCTP Annexe 1 Données de fréquentation relu KS 07 03 25 V13 20250312 LB.xlsx]2023" newName="[041-24 CCTP Annexe 1 Données de fréquentation relu KS 07 03 25 V13 20250312 LB.xlsx]041-24 CCTP Annexe1 - 2023"/>
  <rsnm rId="12224" sheetId="1" oldName="[041-24 CCTP Annexe 1 Données de fréquentation relu KS 07 03 25 V13 20250312 LB.xlsx]2024" newName="[041-24 CCTP Annexe 1 Données de fréquentation relu KS 07 03 25 V13 20250312 LB.xlsx]041-24 CCTP Annexe1 - 2024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2" cell="F7" guid="{88B8D7F9-7FE9-4944-8AC5-7B51DFB9BBEF}" alwaysShow="1" author="BUTTAFOCO Laurence" oldLength="53" newLength="109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00143794-1634-4728-804C-0864C5535C6C}" action="delete"/>
  <rcv guid="{00143794-1634-4728-804C-0864C5535C6C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.bin"/><Relationship Id="rId13" Type="http://schemas.openxmlformats.org/officeDocument/2006/relationships/printerSettings" Target="../printerSettings/printerSettings15.bin"/><Relationship Id="rId1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5.bin"/><Relationship Id="rId21" Type="http://schemas.openxmlformats.org/officeDocument/2006/relationships/printerSettings" Target="../printerSettings/printerSettings23.bin"/><Relationship Id="rId7" Type="http://schemas.openxmlformats.org/officeDocument/2006/relationships/printerSettings" Target="../printerSettings/printerSettings9.bin"/><Relationship Id="rId12" Type="http://schemas.openxmlformats.org/officeDocument/2006/relationships/printerSettings" Target="../printerSettings/printerSettings14.bin"/><Relationship Id="rId17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4.bin"/><Relationship Id="rId16" Type="http://schemas.openxmlformats.org/officeDocument/2006/relationships/printerSettings" Target="../printerSettings/printerSettings18.bin"/><Relationship Id="rId20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3.bin"/><Relationship Id="rId6" Type="http://schemas.openxmlformats.org/officeDocument/2006/relationships/printerSettings" Target="../printerSettings/printerSettings8.bin"/><Relationship Id="rId11" Type="http://schemas.openxmlformats.org/officeDocument/2006/relationships/printerSettings" Target="../printerSettings/printerSettings13.bin"/><Relationship Id="rId24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7.bin"/><Relationship Id="rId15" Type="http://schemas.openxmlformats.org/officeDocument/2006/relationships/printerSettings" Target="../printerSettings/printerSettings17.bin"/><Relationship Id="rId23" Type="http://schemas.openxmlformats.org/officeDocument/2006/relationships/printerSettings" Target="../printerSettings/printerSettings25.bin"/><Relationship Id="rId10" Type="http://schemas.openxmlformats.org/officeDocument/2006/relationships/printerSettings" Target="../printerSettings/printerSettings12.bin"/><Relationship Id="rId19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6.bin"/><Relationship Id="rId9" Type="http://schemas.openxmlformats.org/officeDocument/2006/relationships/printerSettings" Target="../printerSettings/printerSettings11.bin"/><Relationship Id="rId14" Type="http://schemas.openxmlformats.org/officeDocument/2006/relationships/printerSettings" Target="../printerSettings/printerSettings16.bin"/><Relationship Id="rId22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AFC64-28A1-4882-8224-92E5FEB31E94}">
  <dimension ref="A1:BI154"/>
  <sheetViews>
    <sheetView tabSelected="1" zoomScale="70" zoomScaleNormal="70" workbookViewId="0">
      <selection activeCell="V19" sqref="V19"/>
    </sheetView>
  </sheetViews>
  <sheetFormatPr baseColWidth="10" defaultColWidth="11" defaultRowHeight="8.25" x14ac:dyDescent="0.15"/>
  <cols>
    <col min="1" max="1" width="6.25" style="1" customWidth="1"/>
    <col min="2" max="2" width="6.25" style="2" customWidth="1"/>
    <col min="3" max="3" width="5.875" style="3" bestFit="1" customWidth="1"/>
    <col min="4" max="4" width="6" style="3" bestFit="1" customWidth="1"/>
    <col min="5" max="5" width="5" style="3" bestFit="1" customWidth="1"/>
    <col min="6" max="6" width="6.25" style="3" customWidth="1"/>
    <col min="7" max="7" width="6.25" style="4" customWidth="1"/>
    <col min="8" max="8" width="6.125" style="3" customWidth="1"/>
    <col min="9" max="11" width="0.75" style="3" customWidth="1"/>
    <col min="12" max="12" width="10.5" style="2" bestFit="1" customWidth="1"/>
    <col min="13" max="13" width="7.625" style="3" customWidth="1"/>
    <col min="14" max="17" width="6.25" style="3" customWidth="1"/>
    <col min="18" max="18" width="5.875" style="4" customWidth="1"/>
    <col min="19" max="21" width="0.75" style="3" customWidth="1"/>
    <col min="22" max="22" width="10.5" style="2" bestFit="1" customWidth="1"/>
    <col min="23" max="23" width="6.25" style="4" customWidth="1"/>
    <col min="24" max="24" width="6.25" style="3" customWidth="1"/>
    <col min="25" max="25" width="5" style="3" bestFit="1" customWidth="1"/>
    <col min="26" max="27" width="6.25" style="2" customWidth="1"/>
    <col min="28" max="28" width="5.875" style="3" bestFit="1" customWidth="1"/>
    <col min="29" max="31" width="0.75" style="3" customWidth="1"/>
    <col min="32" max="32" width="10.5" style="2" bestFit="1" customWidth="1"/>
    <col min="33" max="33" width="8.375" style="190" customWidth="1"/>
    <col min="34" max="34" width="8.25" style="5" customWidth="1"/>
    <col min="35" max="35" width="6.25" style="5" customWidth="1"/>
    <col min="36" max="36" width="7.25" style="190" customWidth="1"/>
    <col min="37" max="37" width="5.25" style="190" bestFit="1" customWidth="1"/>
    <col min="38" max="38" width="8.5" style="5" bestFit="1" customWidth="1"/>
    <col min="39" max="41" width="0.75" style="3" customWidth="1"/>
    <col min="42" max="42" width="10.5" style="2" bestFit="1" customWidth="1"/>
    <col min="43" max="48" width="6.25" style="3" customWidth="1"/>
    <col min="49" max="51" width="0.75" style="3" customWidth="1"/>
    <col min="52" max="52" width="10.5" style="2" bestFit="1" customWidth="1"/>
    <col min="53" max="57" width="6.75" style="3" customWidth="1"/>
    <col min="58" max="58" width="9.625" style="3" customWidth="1"/>
    <col min="59" max="61" width="0.75" style="3" customWidth="1"/>
    <col min="62" max="1033" width="19.125" style="3" customWidth="1"/>
    <col min="1034" max="16384" width="11" style="3"/>
  </cols>
  <sheetData>
    <row r="1" spans="1:61" ht="12.75" customHeight="1" x14ac:dyDescent="0.15">
      <c r="BA1" s="6" t="s">
        <v>20</v>
      </c>
      <c r="BB1" s="6" t="s">
        <v>21</v>
      </c>
      <c r="BC1" s="6" t="s">
        <v>46</v>
      </c>
      <c r="BD1" s="6" t="s">
        <v>52</v>
      </c>
      <c r="BE1" s="6" t="s">
        <v>53</v>
      </c>
    </row>
    <row r="2" spans="1:61" ht="18.75" customHeight="1" x14ac:dyDescent="0.2">
      <c r="A2" s="7" t="s">
        <v>47</v>
      </c>
      <c r="B2" s="3"/>
      <c r="M2" s="6"/>
      <c r="N2" s="6"/>
      <c r="O2" s="6"/>
      <c r="P2" s="6"/>
      <c r="Q2" s="6"/>
      <c r="R2" s="8"/>
      <c r="S2" s="6"/>
      <c r="T2" s="6"/>
      <c r="U2" s="6"/>
      <c r="V2" s="6"/>
      <c r="W2" s="8"/>
      <c r="X2" s="6"/>
      <c r="Y2" s="6"/>
      <c r="Z2" s="6"/>
      <c r="AA2" s="6"/>
      <c r="AB2" s="6"/>
      <c r="AC2" s="6"/>
      <c r="AD2" s="6"/>
      <c r="AE2" s="6"/>
      <c r="AF2" s="6"/>
      <c r="AG2" s="191"/>
      <c r="AH2" s="9"/>
      <c r="AI2" s="9"/>
      <c r="AJ2" s="191"/>
      <c r="AK2" s="191"/>
      <c r="AL2" s="9"/>
      <c r="AM2" s="6"/>
      <c r="AN2" s="6"/>
      <c r="AO2" s="6"/>
      <c r="AP2" s="6"/>
      <c r="AQ2" s="138" t="s">
        <v>0</v>
      </c>
      <c r="AR2"/>
      <c r="AS2"/>
      <c r="AT2"/>
      <c r="AU2"/>
      <c r="AV2"/>
      <c r="AW2"/>
      <c r="AX2"/>
      <c r="AY2"/>
      <c r="AZ2"/>
      <c r="BA2" s="10">
        <f>C43+M43+W43+AG43+AQ43+BA43+C85+M85+W85+AG85+AQ85+BA85</f>
        <v>132552</v>
      </c>
      <c r="BB2" s="10">
        <f>D43+N43+X43+AH43+AR43+BB43+D85+N85+X85+AH85+AR85+BB85</f>
        <v>169554</v>
      </c>
      <c r="BC2" s="10">
        <f>E43+O43+Y43+AI43+AS43+BC43+E85+O85+Y85+AI85+AS85+BC85</f>
        <v>38649</v>
      </c>
      <c r="BD2" s="10">
        <f>F43+P43+Z43+AJ43+AT43+BD43+F85+P85+Z85+AJ85+AT85+BD85</f>
        <v>1787.5</v>
      </c>
      <c r="BE2" s="10">
        <f>G43+Q43+AA43+AK43+AU43+BE43+G85+Q85+AA85+AK85+AU85+BE85</f>
        <v>4472</v>
      </c>
      <c r="BF2" s="142">
        <f>BA2+BB2+BC2+BD2+BE2</f>
        <v>347014.5</v>
      </c>
      <c r="BG2"/>
      <c r="BH2"/>
      <c r="BI2"/>
    </row>
    <row r="3" spans="1:61" ht="18.75" customHeight="1" x14ac:dyDescent="0.2">
      <c r="A3" s="11" t="s">
        <v>62</v>
      </c>
      <c r="W3" s="12"/>
      <c r="X3" s="13"/>
      <c r="Y3" s="13"/>
      <c r="Z3" s="13"/>
      <c r="AA3" s="13"/>
      <c r="AB3" s="13"/>
      <c r="AC3" s="13"/>
      <c r="AD3" s="13"/>
      <c r="AE3" s="13"/>
      <c r="AF3" s="13"/>
      <c r="AG3" s="21"/>
      <c r="AH3" s="14"/>
      <c r="AI3" s="14"/>
      <c r="AJ3" s="21"/>
      <c r="AK3" s="21"/>
      <c r="AL3" s="14"/>
      <c r="AM3" s="13"/>
      <c r="AN3" s="13"/>
      <c r="AO3" s="13"/>
      <c r="AP3" s="13"/>
      <c r="AQ3" s="138" t="s">
        <v>1</v>
      </c>
      <c r="AR3"/>
      <c r="AS3"/>
      <c r="AT3"/>
      <c r="AU3"/>
      <c r="AV3"/>
      <c r="AW3"/>
      <c r="AX3"/>
      <c r="AY3"/>
      <c r="AZ3"/>
      <c r="BA3" s="143">
        <f>C44+M44+W44+AG44+AQ44+BA44+C86+M86+W86+AG86+AQ86+BA86</f>
        <v>249</v>
      </c>
      <c r="BB3"/>
      <c r="BC3"/>
      <c r="BD3"/>
      <c r="BE3"/>
      <c r="BF3"/>
      <c r="BG3"/>
      <c r="BH3"/>
      <c r="BI3"/>
    </row>
    <row r="4" spans="1:61" ht="15.75" customHeight="1" x14ac:dyDescent="0.2">
      <c r="A4" s="13"/>
      <c r="B4" s="13"/>
      <c r="C4" s="13"/>
      <c r="D4" s="13"/>
      <c r="E4" s="13"/>
      <c r="F4" s="13"/>
      <c r="G4" s="12"/>
      <c r="H4" s="13"/>
      <c r="I4" s="13"/>
      <c r="J4" s="13"/>
      <c r="K4" s="13"/>
      <c r="L4" s="15"/>
      <c r="M4" s="15" t="s">
        <v>2</v>
      </c>
      <c r="N4" s="15"/>
      <c r="O4" s="15"/>
      <c r="P4" s="15"/>
      <c r="Q4" s="15"/>
      <c r="R4" s="16"/>
      <c r="S4" s="13"/>
      <c r="T4" s="13"/>
      <c r="U4" s="13"/>
      <c r="V4" s="13"/>
      <c r="W4" s="12"/>
      <c r="X4" s="13"/>
      <c r="Y4" s="13"/>
      <c r="Z4" s="13"/>
      <c r="AA4" s="13"/>
      <c r="AB4" s="13"/>
      <c r="AC4" s="13"/>
      <c r="AD4" s="13"/>
      <c r="AE4" s="13"/>
      <c r="AF4" s="13"/>
      <c r="AG4" s="21"/>
      <c r="AH4" s="14"/>
      <c r="AI4" s="14"/>
      <c r="AJ4" s="21"/>
      <c r="AK4" s="21"/>
      <c r="AL4" s="14"/>
      <c r="AM4" s="13"/>
      <c r="AN4" s="13"/>
      <c r="AO4" s="13"/>
      <c r="AP4" s="13"/>
      <c r="AQ4" s="138" t="s">
        <v>3</v>
      </c>
      <c r="AR4"/>
      <c r="AS4"/>
      <c r="AT4"/>
      <c r="AU4"/>
      <c r="AV4"/>
      <c r="AW4"/>
      <c r="AX4"/>
      <c r="AY4"/>
      <c r="AZ4"/>
      <c r="BA4" s="17">
        <f>BA2/BA3</f>
        <v>532.3373493975904</v>
      </c>
      <c r="BB4" s="17">
        <f>BB2/BA3</f>
        <v>680.93975903614455</v>
      </c>
      <c r="BC4" s="17">
        <f>BC2/BA3</f>
        <v>155.21686746987953</v>
      </c>
      <c r="BD4" s="17">
        <f>BD2/BA3</f>
        <v>7.1787148594377506</v>
      </c>
      <c r="BE4" s="17">
        <f>BE2/BA3</f>
        <v>17.959839357429718</v>
      </c>
      <c r="BF4" s="139">
        <f>BF2/BA3</f>
        <v>1393.632530120482</v>
      </c>
      <c r="BG4"/>
      <c r="BH4"/>
      <c r="BI4"/>
    </row>
    <row r="5" spans="1:61" ht="15.75" customHeight="1" x14ac:dyDescent="0.2">
      <c r="A5" s="13"/>
      <c r="B5" s="13"/>
      <c r="C5" s="13"/>
      <c r="D5" s="13"/>
      <c r="E5" s="13"/>
      <c r="F5" s="13"/>
      <c r="G5" s="12"/>
      <c r="H5" s="13"/>
      <c r="I5" s="13"/>
      <c r="J5" s="13"/>
      <c r="K5" s="13"/>
      <c r="L5" s="13"/>
      <c r="M5" s="13"/>
      <c r="N5" s="13"/>
      <c r="O5" s="13"/>
      <c r="P5" s="13"/>
      <c r="Q5" s="13"/>
      <c r="R5" s="12"/>
      <c r="S5" s="13"/>
      <c r="T5" s="13"/>
      <c r="U5" s="13"/>
      <c r="V5" s="13"/>
      <c r="W5" s="12"/>
      <c r="X5" s="13"/>
      <c r="Y5" s="13"/>
      <c r="Z5" s="13"/>
      <c r="AA5" s="13"/>
      <c r="AB5" s="13"/>
      <c r="AC5" s="13"/>
      <c r="AD5" s="13"/>
      <c r="AE5" s="13"/>
      <c r="AF5" s="13"/>
      <c r="AG5" s="21"/>
      <c r="AH5" s="14"/>
      <c r="AI5" s="14"/>
      <c r="AJ5" s="21"/>
      <c r="AK5" s="21"/>
      <c r="AL5" s="14"/>
      <c r="AM5" s="13"/>
      <c r="AN5" s="13"/>
      <c r="AO5" s="13"/>
      <c r="AP5" s="13"/>
      <c r="AQ5" s="140" t="s">
        <v>4</v>
      </c>
      <c r="AR5"/>
      <c r="AS5"/>
      <c r="AT5"/>
      <c r="AU5"/>
      <c r="AV5"/>
      <c r="AW5"/>
      <c r="AX5"/>
      <c r="AY5"/>
      <c r="AZ5"/>
      <c r="BA5" s="18">
        <f>C46+M46+W46+AG46+AQ46+BA46+C88+M88+W88+AG88+AQ88+BA88</f>
        <v>0</v>
      </c>
      <c r="BB5" s="19">
        <f t="shared" ref="BB5:BE6" si="0">D46+N46+X46+AH46+AR46+BB46+D88+N88+X88+AH88+AR88+BB88</f>
        <v>0</v>
      </c>
      <c r="BC5" s="18">
        <f t="shared" si="0"/>
        <v>0</v>
      </c>
      <c r="BD5" s="19">
        <f t="shared" si="0"/>
        <v>0</v>
      </c>
      <c r="BE5" s="18">
        <f t="shared" si="0"/>
        <v>0</v>
      </c>
      <c r="BF5" s="141"/>
      <c r="BG5"/>
      <c r="BH5"/>
      <c r="BI5"/>
    </row>
    <row r="6" spans="1:61" ht="15.75" customHeight="1" x14ac:dyDescent="0.2">
      <c r="A6" s="3"/>
      <c r="B6" s="3"/>
      <c r="C6" s="20" t="s">
        <v>5</v>
      </c>
      <c r="D6"/>
      <c r="E6" s="20"/>
      <c r="F6" s="20"/>
      <c r="G6" s="49"/>
      <c r="H6" s="144" t="s">
        <v>6</v>
      </c>
      <c r="I6"/>
      <c r="J6"/>
      <c r="N6" s="2"/>
      <c r="O6" s="2"/>
      <c r="P6" s="2"/>
      <c r="Q6" s="2"/>
      <c r="R6" s="145" t="s">
        <v>7</v>
      </c>
      <c r="S6"/>
      <c r="T6"/>
      <c r="V6" s="3"/>
      <c r="AB6" s="146" t="s">
        <v>8</v>
      </c>
      <c r="AC6"/>
      <c r="AD6"/>
      <c r="AE6" s="13"/>
      <c r="AF6" s="13"/>
      <c r="AG6" s="21"/>
      <c r="AH6" s="14"/>
      <c r="AI6" s="14"/>
      <c r="AJ6" s="21"/>
      <c r="AK6" s="21"/>
      <c r="AL6" s="14"/>
      <c r="AM6" s="13"/>
      <c r="AN6" s="13"/>
      <c r="AO6" s="13"/>
      <c r="AP6" s="13"/>
      <c r="AQ6" s="147" t="s">
        <v>9</v>
      </c>
      <c r="AR6"/>
      <c r="AS6"/>
      <c r="AT6"/>
      <c r="AU6"/>
      <c r="AV6"/>
      <c r="AW6"/>
      <c r="AX6"/>
      <c r="AY6"/>
      <c r="AZ6"/>
      <c r="BA6" s="18">
        <f>C47+M47+W47+AG47+AQ47+BA47+C89+M89+W89+AG89+AQ89+BA89</f>
        <v>246</v>
      </c>
      <c r="BB6" s="19">
        <f t="shared" si="0"/>
        <v>245</v>
      </c>
      <c r="BC6" s="18">
        <f t="shared" si="0"/>
        <v>183</v>
      </c>
      <c r="BD6" s="19">
        <f t="shared" si="0"/>
        <v>180</v>
      </c>
      <c r="BE6" s="18">
        <f t="shared" si="0"/>
        <v>148</v>
      </c>
      <c r="BF6"/>
      <c r="BG6"/>
      <c r="BH6"/>
      <c r="BI6"/>
    </row>
    <row r="7" spans="1:61" ht="15.75" customHeight="1" x14ac:dyDescent="0.15">
      <c r="A7" s="21"/>
      <c r="B7" s="13"/>
      <c r="C7" s="13"/>
      <c r="D7" s="13"/>
      <c r="E7" s="13"/>
      <c r="F7" s="13"/>
      <c r="G7" s="12"/>
      <c r="H7" s="13"/>
      <c r="I7" s="13"/>
      <c r="J7" s="13"/>
      <c r="K7" s="13"/>
      <c r="L7" s="13"/>
      <c r="M7" s="13"/>
      <c r="N7" s="13"/>
      <c r="O7" s="13"/>
      <c r="P7" s="13"/>
      <c r="Q7" s="13"/>
      <c r="R7" s="12"/>
      <c r="S7" s="13"/>
      <c r="T7" s="13"/>
      <c r="U7" s="13"/>
      <c r="V7" s="13"/>
      <c r="W7" s="12"/>
      <c r="X7" s="13"/>
      <c r="Y7" s="13"/>
      <c r="Z7" s="13"/>
      <c r="AA7" s="13"/>
      <c r="AB7" s="13"/>
      <c r="AC7" s="13"/>
      <c r="AD7" s="13"/>
      <c r="AE7" s="13"/>
      <c r="AF7" s="13"/>
      <c r="AG7" s="21"/>
      <c r="AH7" s="14"/>
      <c r="AI7" s="14"/>
      <c r="AJ7" s="21"/>
      <c r="AK7" s="21"/>
      <c r="AL7" s="14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</row>
    <row r="8" spans="1:61" ht="15.2" customHeight="1" x14ac:dyDescent="0.2">
      <c r="A8" s="148" t="s">
        <v>10</v>
      </c>
      <c r="B8" s="149" t="s">
        <v>11</v>
      </c>
      <c r="C8"/>
      <c r="D8"/>
      <c r="E8"/>
      <c r="F8"/>
      <c r="G8"/>
      <c r="H8"/>
      <c r="I8"/>
      <c r="J8"/>
      <c r="K8"/>
      <c r="L8" s="149" t="s">
        <v>12</v>
      </c>
      <c r="M8"/>
      <c r="N8"/>
      <c r="O8"/>
      <c r="P8"/>
      <c r="Q8"/>
      <c r="R8"/>
      <c r="S8"/>
      <c r="T8"/>
      <c r="U8"/>
      <c r="V8" s="149" t="s">
        <v>13</v>
      </c>
      <c r="W8"/>
      <c r="X8"/>
      <c r="Y8"/>
      <c r="Z8"/>
      <c r="AA8"/>
      <c r="AB8"/>
      <c r="AC8"/>
      <c r="AD8"/>
      <c r="AE8"/>
      <c r="AF8" s="149" t="s">
        <v>14</v>
      </c>
      <c r="AG8"/>
      <c r="AH8"/>
      <c r="AI8"/>
      <c r="AJ8"/>
      <c r="AK8"/>
      <c r="AL8"/>
      <c r="AM8"/>
      <c r="AN8"/>
      <c r="AO8"/>
      <c r="AP8" s="149" t="s">
        <v>15</v>
      </c>
      <c r="AQ8"/>
      <c r="AR8"/>
      <c r="AS8"/>
      <c r="AT8"/>
      <c r="AU8"/>
      <c r="AV8"/>
      <c r="AW8"/>
      <c r="AX8"/>
      <c r="AY8"/>
      <c r="AZ8" s="149" t="s">
        <v>16</v>
      </c>
      <c r="BA8"/>
      <c r="BB8"/>
      <c r="BC8"/>
      <c r="BD8"/>
      <c r="BE8"/>
      <c r="BF8"/>
      <c r="BG8"/>
      <c r="BH8"/>
      <c r="BI8"/>
    </row>
    <row r="9" spans="1:61" s="22" customFormat="1" ht="13.7" customHeight="1" x14ac:dyDescent="0.2">
      <c r="A9"/>
      <c r="B9" s="150" t="s">
        <v>18</v>
      </c>
      <c r="C9" s="151" t="s">
        <v>19</v>
      </c>
      <c r="D9"/>
      <c r="E9"/>
      <c r="F9"/>
      <c r="G9"/>
      <c r="H9"/>
      <c r="I9"/>
      <c r="J9"/>
      <c r="K9"/>
      <c r="L9" s="150" t="s">
        <v>18</v>
      </c>
      <c r="M9" s="151" t="s">
        <v>19</v>
      </c>
      <c r="N9"/>
      <c r="O9"/>
      <c r="P9"/>
      <c r="Q9"/>
      <c r="R9"/>
      <c r="S9"/>
      <c r="T9"/>
      <c r="U9"/>
      <c r="V9" s="150" t="s">
        <v>18</v>
      </c>
      <c r="W9" s="151" t="s">
        <v>19</v>
      </c>
      <c r="X9"/>
      <c r="Y9"/>
      <c r="Z9"/>
      <c r="AA9"/>
      <c r="AB9"/>
      <c r="AC9"/>
      <c r="AD9"/>
      <c r="AE9"/>
      <c r="AF9" s="150" t="s">
        <v>18</v>
      </c>
      <c r="AG9" s="151" t="s">
        <v>19</v>
      </c>
      <c r="AH9"/>
      <c r="AI9"/>
      <c r="AJ9"/>
      <c r="AK9"/>
      <c r="AL9"/>
      <c r="AM9"/>
      <c r="AN9"/>
      <c r="AO9"/>
      <c r="AP9" s="150" t="s">
        <v>18</v>
      </c>
      <c r="AQ9" s="151" t="s">
        <v>19</v>
      </c>
      <c r="AR9"/>
      <c r="AS9"/>
      <c r="AT9"/>
      <c r="AU9"/>
      <c r="AV9"/>
      <c r="AW9"/>
      <c r="AX9"/>
      <c r="AY9"/>
      <c r="AZ9" s="150" t="s">
        <v>18</v>
      </c>
      <c r="BA9" s="151" t="s">
        <v>19</v>
      </c>
      <c r="BB9"/>
      <c r="BC9"/>
      <c r="BD9"/>
      <c r="BE9"/>
      <c r="BF9"/>
      <c r="BG9"/>
      <c r="BH9"/>
      <c r="BI9"/>
    </row>
    <row r="10" spans="1:61" s="22" customFormat="1" ht="13.7" customHeight="1" x14ac:dyDescent="0.2">
      <c r="A10"/>
      <c r="B10"/>
      <c r="C10" s="23" t="s">
        <v>20</v>
      </c>
      <c r="D10" s="23" t="s">
        <v>21</v>
      </c>
      <c r="E10" s="23" t="s">
        <v>46</v>
      </c>
      <c r="F10" s="23" t="s">
        <v>52</v>
      </c>
      <c r="G10" s="24" t="s">
        <v>53</v>
      </c>
      <c r="H10" s="23" t="s">
        <v>22</v>
      </c>
      <c r="I10"/>
      <c r="J10"/>
      <c r="K10"/>
      <c r="L10"/>
      <c r="M10" s="23" t="s">
        <v>20</v>
      </c>
      <c r="N10" s="23" t="s">
        <v>21</v>
      </c>
      <c r="O10" s="23" t="s">
        <v>46</v>
      </c>
      <c r="P10" s="23" t="s">
        <v>52</v>
      </c>
      <c r="Q10" s="23" t="s">
        <v>53</v>
      </c>
      <c r="R10" s="24" t="s">
        <v>22</v>
      </c>
      <c r="S10" s="23"/>
      <c r="T10" s="23"/>
      <c r="U10" s="23"/>
      <c r="V10"/>
      <c r="W10" s="25" t="s">
        <v>20</v>
      </c>
      <c r="X10" s="26" t="s">
        <v>21</v>
      </c>
      <c r="Y10" s="26" t="s">
        <v>46</v>
      </c>
      <c r="Z10" s="23" t="s">
        <v>52</v>
      </c>
      <c r="AA10" s="23" t="s">
        <v>53</v>
      </c>
      <c r="AB10" s="23" t="s">
        <v>22</v>
      </c>
      <c r="AC10"/>
      <c r="AD10"/>
      <c r="AE10"/>
      <c r="AF10"/>
      <c r="AG10" s="192" t="s">
        <v>20</v>
      </c>
      <c r="AH10" s="27" t="s">
        <v>21</v>
      </c>
      <c r="AI10" s="27" t="s">
        <v>46</v>
      </c>
      <c r="AJ10" s="201" t="s">
        <v>52</v>
      </c>
      <c r="AK10" s="201" t="s">
        <v>53</v>
      </c>
      <c r="AL10" s="23" t="s">
        <v>22</v>
      </c>
      <c r="AM10"/>
      <c r="AN10"/>
      <c r="AO10"/>
      <c r="AP10"/>
      <c r="AQ10" s="26" t="s">
        <v>20</v>
      </c>
      <c r="AR10" s="26" t="s">
        <v>21</v>
      </c>
      <c r="AS10" s="26" t="s">
        <v>46</v>
      </c>
      <c r="AT10" s="23" t="s">
        <v>52</v>
      </c>
      <c r="AU10" s="23" t="s">
        <v>53</v>
      </c>
      <c r="AV10" s="23" t="s">
        <v>22</v>
      </c>
      <c r="AW10"/>
      <c r="AX10"/>
      <c r="AY10"/>
      <c r="AZ10"/>
      <c r="BA10" s="26" t="s">
        <v>20</v>
      </c>
      <c r="BB10" s="26" t="s">
        <v>21</v>
      </c>
      <c r="BC10" s="26" t="s">
        <v>46</v>
      </c>
      <c r="BD10" s="23" t="s">
        <v>52</v>
      </c>
      <c r="BE10" s="23" t="s">
        <v>53</v>
      </c>
      <c r="BF10" s="23" t="s">
        <v>22</v>
      </c>
      <c r="BG10"/>
      <c r="BH10"/>
      <c r="BI10"/>
    </row>
    <row r="11" spans="1:61" ht="13.5" customHeight="1" x14ac:dyDescent="0.2">
      <c r="A11" s="28" t="s">
        <v>23</v>
      </c>
      <c r="B11" s="29" t="s">
        <v>31</v>
      </c>
      <c r="C11" s="153" t="s">
        <v>25</v>
      </c>
      <c r="D11"/>
      <c r="E11"/>
      <c r="F11"/>
      <c r="G11"/>
      <c r="H11"/>
      <c r="I11"/>
      <c r="J11"/>
      <c r="K11"/>
      <c r="L11" s="30" t="s">
        <v>32</v>
      </c>
      <c r="M11" s="81">
        <v>633</v>
      </c>
      <c r="N11" s="81">
        <v>916</v>
      </c>
      <c r="O11" s="81">
        <v>170</v>
      </c>
      <c r="P11" s="81">
        <f>14+1</f>
        <v>15</v>
      </c>
      <c r="Q11" s="81">
        <v>22</v>
      </c>
      <c r="R11" s="57">
        <f>SUM(M11:Q11)</f>
        <v>1756</v>
      </c>
      <c r="S11" s="51"/>
      <c r="T11" s="51"/>
      <c r="U11" s="52"/>
      <c r="V11" s="30" t="s">
        <v>32</v>
      </c>
      <c r="W11" s="81">
        <v>489</v>
      </c>
      <c r="X11" s="81">
        <v>791</v>
      </c>
      <c r="Y11" s="81">
        <v>161</v>
      </c>
      <c r="Z11" s="81">
        <v>0</v>
      </c>
      <c r="AA11" s="81">
        <v>9</v>
      </c>
      <c r="AB11" s="57">
        <f>SUM(W11:AA11)</f>
        <v>1450</v>
      </c>
      <c r="AC11" s="183"/>
      <c r="AD11" s="64"/>
      <c r="AE11" s="64"/>
      <c r="AF11" s="30" t="s">
        <v>28</v>
      </c>
      <c r="AG11" s="193"/>
      <c r="AH11" s="97"/>
      <c r="AI11" s="97"/>
      <c r="AJ11" s="193"/>
      <c r="AK11" s="193"/>
      <c r="AL11" s="60"/>
      <c r="AM11" s="51"/>
      <c r="AN11" s="51"/>
      <c r="AO11" s="52"/>
      <c r="AP11" s="34" t="s">
        <v>26</v>
      </c>
      <c r="AQ11" s="154" t="s">
        <v>29</v>
      </c>
      <c r="AR11"/>
      <c r="AS11"/>
      <c r="AT11"/>
      <c r="AU11"/>
      <c r="AV11"/>
      <c r="AW11" s="312"/>
      <c r="AX11" s="33"/>
      <c r="AY11" s="33"/>
      <c r="AZ11" s="30" t="s">
        <v>27</v>
      </c>
      <c r="BA11" s="128">
        <v>650</v>
      </c>
      <c r="BB11" s="128">
        <v>934</v>
      </c>
      <c r="BC11" s="128">
        <v>172</v>
      </c>
      <c r="BD11" s="128">
        <f>3</f>
        <v>3</v>
      </c>
      <c r="BE11" s="128">
        <v>14</v>
      </c>
      <c r="BF11" s="128">
        <f>SUM(BA11:BE11)</f>
        <v>1773</v>
      </c>
      <c r="BG11" s="116"/>
      <c r="BH11" s="116"/>
      <c r="BI11" s="117"/>
    </row>
    <row r="12" spans="1:61" ht="12.75" customHeight="1" x14ac:dyDescent="0.2">
      <c r="A12" s="28">
        <v>2</v>
      </c>
      <c r="B12" s="29" t="s">
        <v>26</v>
      </c>
      <c r="C12" s="70" t="s">
        <v>51</v>
      </c>
      <c r="D12" s="70" t="s">
        <v>51</v>
      </c>
      <c r="E12" s="313">
        <v>0</v>
      </c>
      <c r="F12" s="71">
        <v>0</v>
      </c>
      <c r="G12" s="71">
        <v>0</v>
      </c>
      <c r="H12" s="65">
        <f>SUM(E12:G12)</f>
        <v>0</v>
      </c>
      <c r="I12" s="55"/>
      <c r="J12" s="55"/>
      <c r="K12" s="55"/>
      <c r="L12" s="30" t="s">
        <v>27</v>
      </c>
      <c r="M12" s="82">
        <v>669</v>
      </c>
      <c r="N12" s="81">
        <v>983</v>
      </c>
      <c r="O12" s="81">
        <v>176</v>
      </c>
      <c r="P12" s="81">
        <f>15+3</f>
        <v>18</v>
      </c>
      <c r="Q12" s="81">
        <f>39+145</f>
        <v>184</v>
      </c>
      <c r="R12" s="57">
        <f t="shared" ref="R12:R38" si="1">SUM(M12:Q12)</f>
        <v>2030</v>
      </c>
      <c r="S12" s="53"/>
      <c r="T12" s="53"/>
      <c r="U12" s="54"/>
      <c r="V12" s="30" t="s">
        <v>27</v>
      </c>
      <c r="W12" s="81">
        <v>514</v>
      </c>
      <c r="X12" s="81">
        <v>839</v>
      </c>
      <c r="Y12" s="81">
        <v>132</v>
      </c>
      <c r="Z12" s="81">
        <v>2</v>
      </c>
      <c r="AA12" s="81">
        <v>9</v>
      </c>
      <c r="AB12" s="57">
        <f t="shared" ref="AB12:AB41" si="2">SUM(W12:AA12)</f>
        <v>1496</v>
      </c>
      <c r="AC12" s="64"/>
      <c r="AD12" s="64"/>
      <c r="AE12" s="64"/>
      <c r="AF12" s="30" t="s">
        <v>31</v>
      </c>
      <c r="AG12" s="193"/>
      <c r="AH12" s="97"/>
      <c r="AI12" s="97"/>
      <c r="AJ12" s="193"/>
      <c r="AK12" s="193"/>
      <c r="AL12" s="60"/>
      <c r="AM12" s="53"/>
      <c r="AN12" s="53"/>
      <c r="AO12" s="54"/>
      <c r="AP12" s="34" t="s">
        <v>30</v>
      </c>
      <c r="AQ12" s="114">
        <v>550</v>
      </c>
      <c r="AR12" s="112">
        <v>874</v>
      </c>
      <c r="AS12" s="112">
        <v>170</v>
      </c>
      <c r="AT12" s="112">
        <v>11</v>
      </c>
      <c r="AU12" s="112">
        <v>0</v>
      </c>
      <c r="AV12" s="112">
        <f>SUM(AQ12:AU12)</f>
        <v>1605</v>
      </c>
      <c r="AW12" s="64"/>
      <c r="AX12" s="64"/>
      <c r="AY12" s="64"/>
      <c r="AZ12" s="30" t="s">
        <v>24</v>
      </c>
      <c r="BA12" s="314">
        <v>0</v>
      </c>
      <c r="BB12" s="128">
        <v>840</v>
      </c>
      <c r="BC12" s="128">
        <v>140</v>
      </c>
      <c r="BD12" s="128">
        <v>0</v>
      </c>
      <c r="BE12" s="128">
        <v>6</v>
      </c>
      <c r="BF12" s="128">
        <f>SUM(BA12:BE12)</f>
        <v>986</v>
      </c>
      <c r="BG12" s="118"/>
      <c r="BH12" s="118"/>
      <c r="BI12" s="119"/>
    </row>
    <row r="13" spans="1:61" ht="12.75" customHeight="1" x14ac:dyDescent="0.2">
      <c r="A13" s="28">
        <v>3</v>
      </c>
      <c r="B13" s="29" t="s">
        <v>30</v>
      </c>
      <c r="C13" s="76">
        <v>706</v>
      </c>
      <c r="D13" s="76">
        <v>979</v>
      </c>
      <c r="E13" s="76">
        <v>195</v>
      </c>
      <c r="F13" s="76">
        <f>8+1</f>
        <v>9</v>
      </c>
      <c r="G13" s="315">
        <v>0</v>
      </c>
      <c r="H13" s="76">
        <f>SUM(C13:G13)</f>
        <v>1889</v>
      </c>
      <c r="I13" s="59"/>
      <c r="J13" s="53"/>
      <c r="K13" s="54"/>
      <c r="L13" s="30" t="s">
        <v>24</v>
      </c>
      <c r="M13" s="81">
        <v>400</v>
      </c>
      <c r="N13" s="81">
        <v>627</v>
      </c>
      <c r="O13" s="81">
        <v>141</v>
      </c>
      <c r="P13" s="81">
        <f>5+3</f>
        <v>8</v>
      </c>
      <c r="Q13" s="81">
        <v>36</v>
      </c>
      <c r="R13" s="57">
        <f t="shared" si="1"/>
        <v>1212</v>
      </c>
      <c r="S13" s="53"/>
      <c r="T13" s="53"/>
      <c r="U13" s="54"/>
      <c r="V13" s="30" t="s">
        <v>24</v>
      </c>
      <c r="W13" s="81">
        <v>282</v>
      </c>
      <c r="X13" s="81">
        <v>480</v>
      </c>
      <c r="Y13" s="81">
        <v>99</v>
      </c>
      <c r="Z13" s="81">
        <v>2</v>
      </c>
      <c r="AA13" s="81">
        <v>0</v>
      </c>
      <c r="AB13" s="57">
        <f t="shared" si="2"/>
        <v>863</v>
      </c>
      <c r="AC13" s="64"/>
      <c r="AD13" s="64"/>
      <c r="AE13" s="64"/>
      <c r="AF13" s="36" t="s">
        <v>26</v>
      </c>
      <c r="AG13" s="316">
        <v>620</v>
      </c>
      <c r="AH13" s="316">
        <v>985</v>
      </c>
      <c r="AI13" s="316">
        <v>189</v>
      </c>
      <c r="AJ13" s="316">
        <v>15</v>
      </c>
      <c r="AK13" s="317">
        <f>5</f>
        <v>5</v>
      </c>
      <c r="AL13" s="204">
        <f>SUM(AG13:AK13)</f>
        <v>1814</v>
      </c>
      <c r="AM13" s="53"/>
      <c r="AN13" s="53"/>
      <c r="AO13" s="54"/>
      <c r="AP13" s="34" t="s">
        <v>32</v>
      </c>
      <c r="AQ13" s="114">
        <v>476</v>
      </c>
      <c r="AR13" s="81">
        <v>723</v>
      </c>
      <c r="AS13" s="81">
        <v>159</v>
      </c>
      <c r="AT13" s="81">
        <v>9</v>
      </c>
      <c r="AU13" s="81">
        <v>8</v>
      </c>
      <c r="AV13" s="112">
        <f>SUM(AQ13:AU13)</f>
        <v>1375</v>
      </c>
      <c r="AW13" s="64"/>
      <c r="AX13" s="64"/>
      <c r="AY13" s="64"/>
      <c r="AZ13" s="30" t="s">
        <v>28</v>
      </c>
      <c r="BA13" s="129"/>
      <c r="BB13" s="129"/>
      <c r="BC13" s="129"/>
      <c r="BD13" s="129"/>
      <c r="BE13" s="129"/>
      <c r="BF13" s="129"/>
      <c r="BG13" s="118"/>
      <c r="BH13" s="118"/>
      <c r="BI13" s="119"/>
    </row>
    <row r="14" spans="1:61" ht="12.75" customHeight="1" x14ac:dyDescent="0.2">
      <c r="A14" s="28">
        <v>4</v>
      </c>
      <c r="B14" s="29" t="s">
        <v>32</v>
      </c>
      <c r="C14" s="77">
        <v>596</v>
      </c>
      <c r="D14" s="77">
        <v>791</v>
      </c>
      <c r="E14" s="77">
        <v>184</v>
      </c>
      <c r="F14" s="77">
        <f>6+1</f>
        <v>7</v>
      </c>
      <c r="G14" s="77">
        <v>0</v>
      </c>
      <c r="H14" s="77">
        <f>SUM(C14:G14)</f>
        <v>1578</v>
      </c>
      <c r="I14" s="53"/>
      <c r="J14" s="53"/>
      <c r="K14" s="54"/>
      <c r="L14" s="30" t="s">
        <v>28</v>
      </c>
      <c r="M14" s="60"/>
      <c r="N14" s="60"/>
      <c r="O14" s="60"/>
      <c r="P14" s="60"/>
      <c r="Q14" s="60"/>
      <c r="R14" s="88"/>
      <c r="S14" s="53"/>
      <c r="T14" s="53"/>
      <c r="U14" s="54"/>
      <c r="V14" s="30" t="s">
        <v>28</v>
      </c>
      <c r="W14" s="60"/>
      <c r="X14" s="60"/>
      <c r="Y14" s="60"/>
      <c r="Z14" s="60"/>
      <c r="AA14" s="60"/>
      <c r="AB14" s="88"/>
      <c r="AC14" s="64"/>
      <c r="AD14" s="64"/>
      <c r="AE14" s="64"/>
      <c r="AF14" s="36" t="s">
        <v>30</v>
      </c>
      <c r="AG14" s="194">
        <v>708</v>
      </c>
      <c r="AH14" s="194">
        <v>1098</v>
      </c>
      <c r="AI14" s="194">
        <v>181</v>
      </c>
      <c r="AJ14" s="194">
        <v>15</v>
      </c>
      <c r="AK14" s="202">
        <f>128</f>
        <v>128</v>
      </c>
      <c r="AL14" s="204">
        <f>SUM(AG14:AK14)</f>
        <v>2130</v>
      </c>
      <c r="AM14" s="55"/>
      <c r="AN14" s="55"/>
      <c r="AO14" s="55"/>
      <c r="AP14" s="35" t="s">
        <v>27</v>
      </c>
      <c r="AQ14" s="114">
        <v>471</v>
      </c>
      <c r="AR14" s="81">
        <v>748</v>
      </c>
      <c r="AS14" s="81">
        <v>151</v>
      </c>
      <c r="AT14" s="81">
        <v>11</v>
      </c>
      <c r="AU14" s="81">
        <v>0</v>
      </c>
      <c r="AV14" s="112">
        <f>SUM(AQ14:AU14)</f>
        <v>1381</v>
      </c>
      <c r="AW14" s="64"/>
      <c r="AX14" s="64"/>
      <c r="AY14" s="64"/>
      <c r="AZ14" s="30" t="s">
        <v>31</v>
      </c>
      <c r="BA14" s="120"/>
      <c r="BB14" s="120"/>
      <c r="BC14" s="120"/>
      <c r="BD14" s="120"/>
      <c r="BE14" s="120"/>
      <c r="BF14" s="120"/>
      <c r="BG14" s="118"/>
      <c r="BH14" s="118"/>
      <c r="BI14" s="119"/>
    </row>
    <row r="15" spans="1:61" ht="12.75" customHeight="1" x14ac:dyDescent="0.2">
      <c r="A15" s="28">
        <v>5</v>
      </c>
      <c r="B15" s="29" t="s">
        <v>27</v>
      </c>
      <c r="C15" s="77">
        <v>710</v>
      </c>
      <c r="D15" s="77">
        <v>923</v>
      </c>
      <c r="E15" s="77">
        <v>202</v>
      </c>
      <c r="F15" s="77">
        <f>8+3</f>
        <v>11</v>
      </c>
      <c r="G15" s="77">
        <v>2</v>
      </c>
      <c r="H15" s="77">
        <f>SUM(C15:G15)</f>
        <v>1848</v>
      </c>
      <c r="I15" s="53"/>
      <c r="J15" s="53"/>
      <c r="K15" s="54"/>
      <c r="L15" s="30" t="s">
        <v>31</v>
      </c>
      <c r="M15" s="60"/>
      <c r="N15" s="60"/>
      <c r="O15" s="60"/>
      <c r="P15" s="60"/>
      <c r="Q15" s="60"/>
      <c r="R15" s="318"/>
      <c r="S15" s="179"/>
      <c r="T15" s="53"/>
      <c r="U15" s="54"/>
      <c r="V15" s="30" t="s">
        <v>31</v>
      </c>
      <c r="W15" s="60"/>
      <c r="X15" s="60"/>
      <c r="Y15" s="60"/>
      <c r="Z15" s="60"/>
      <c r="AA15" s="60"/>
      <c r="AB15" s="88"/>
      <c r="AC15" s="64"/>
      <c r="AD15" s="64"/>
      <c r="AE15" s="64"/>
      <c r="AF15" s="36" t="s">
        <v>32</v>
      </c>
      <c r="AG15" s="194">
        <v>599</v>
      </c>
      <c r="AH15" s="194">
        <v>896</v>
      </c>
      <c r="AI15" s="194">
        <v>175</v>
      </c>
      <c r="AJ15" s="194">
        <f>11+2</f>
        <v>13</v>
      </c>
      <c r="AK15" s="202">
        <f>13+17</f>
        <v>30</v>
      </c>
      <c r="AL15" s="204">
        <f>SUM(AG15:AK15)</f>
        <v>1713</v>
      </c>
      <c r="AM15" s="55"/>
      <c r="AN15" s="55"/>
      <c r="AO15" s="55"/>
      <c r="AP15" s="35" t="s">
        <v>24</v>
      </c>
      <c r="AQ15" s="319">
        <v>0</v>
      </c>
      <c r="AR15" s="81">
        <v>665</v>
      </c>
      <c r="AS15" s="81">
        <v>121</v>
      </c>
      <c r="AT15" s="81">
        <v>3</v>
      </c>
      <c r="AU15" s="81">
        <v>30</v>
      </c>
      <c r="AV15" s="112">
        <f>SUM(AQ15:AU15)</f>
        <v>819</v>
      </c>
      <c r="AW15" s="64"/>
      <c r="AX15" s="64"/>
      <c r="AY15" s="64"/>
      <c r="AZ15" s="30" t="s">
        <v>26</v>
      </c>
      <c r="BA15" s="213">
        <v>576</v>
      </c>
      <c r="BB15" s="213">
        <v>1005</v>
      </c>
      <c r="BC15" s="215">
        <v>170</v>
      </c>
      <c r="BD15" s="128">
        <f>3</f>
        <v>3</v>
      </c>
      <c r="BE15" s="128">
        <f>5</f>
        <v>5</v>
      </c>
      <c r="BF15" s="128">
        <f>SUM(BA15:BE15)</f>
        <v>1759</v>
      </c>
      <c r="BG15" s="118"/>
      <c r="BH15" s="118"/>
      <c r="BI15" s="119"/>
    </row>
    <row r="16" spans="1:61" ht="12.75" customHeight="1" x14ac:dyDescent="0.2">
      <c r="A16" s="28">
        <v>6</v>
      </c>
      <c r="B16" s="29" t="s">
        <v>24</v>
      </c>
      <c r="C16" s="77">
        <v>342</v>
      </c>
      <c r="D16" s="77">
        <v>595</v>
      </c>
      <c r="E16" s="77">
        <v>159</v>
      </c>
      <c r="F16" s="77">
        <v>5</v>
      </c>
      <c r="G16" s="77">
        <f>13</f>
        <v>13</v>
      </c>
      <c r="H16" s="77">
        <f>SUM(C16:G16)</f>
        <v>1114</v>
      </c>
      <c r="I16" s="53"/>
      <c r="J16" s="53"/>
      <c r="K16" s="53"/>
      <c r="L16" s="30" t="s">
        <v>26</v>
      </c>
      <c r="M16" s="83">
        <v>667</v>
      </c>
      <c r="N16" s="65">
        <v>999</v>
      </c>
      <c r="O16" s="65">
        <v>190</v>
      </c>
      <c r="P16" s="65">
        <f>10+3</f>
        <v>13</v>
      </c>
      <c r="Q16" s="65">
        <v>0</v>
      </c>
      <c r="R16" s="320">
        <f>SUM(M16:Q16)</f>
        <v>1869</v>
      </c>
      <c r="S16" s="179"/>
      <c r="T16" s="53"/>
      <c r="U16" s="54"/>
      <c r="V16" s="30" t="s">
        <v>26</v>
      </c>
      <c r="W16" s="65">
        <v>670</v>
      </c>
      <c r="X16" s="65">
        <v>1056</v>
      </c>
      <c r="Y16" s="65">
        <v>178</v>
      </c>
      <c r="Z16" s="65">
        <v>12</v>
      </c>
      <c r="AA16" s="65">
        <v>1</v>
      </c>
      <c r="AB16" s="57">
        <f t="shared" si="2"/>
        <v>1917</v>
      </c>
      <c r="AC16" s="55"/>
      <c r="AD16" s="55"/>
      <c r="AE16" s="55"/>
      <c r="AF16" s="36" t="s">
        <v>27</v>
      </c>
      <c r="AG16" s="321">
        <v>429</v>
      </c>
      <c r="AH16" s="321">
        <v>652</v>
      </c>
      <c r="AI16" s="321">
        <v>148</v>
      </c>
      <c r="AJ16" s="321">
        <v>10</v>
      </c>
      <c r="AK16" s="321">
        <f>25+10</f>
        <v>35</v>
      </c>
      <c r="AL16" s="204">
        <f>SUM(AG16:AK16)</f>
        <v>1274</v>
      </c>
      <c r="AM16" s="55"/>
      <c r="AN16" s="55"/>
      <c r="AO16" s="55"/>
      <c r="AP16" s="34" t="s">
        <v>28</v>
      </c>
      <c r="AQ16" s="60"/>
      <c r="AR16" s="60"/>
      <c r="AS16" s="60"/>
      <c r="AT16" s="60"/>
      <c r="AU16" s="60"/>
      <c r="AV16" s="60"/>
      <c r="AW16" s="322"/>
      <c r="AX16" s="322"/>
      <c r="AY16" s="103"/>
      <c r="AZ16" s="30" t="s">
        <v>30</v>
      </c>
      <c r="BA16" s="214">
        <v>656</v>
      </c>
      <c r="BB16" s="214">
        <v>947</v>
      </c>
      <c r="BC16" s="214">
        <v>168</v>
      </c>
      <c r="BD16" s="214">
        <f>3</f>
        <v>3</v>
      </c>
      <c r="BE16" s="214">
        <f>5</f>
        <v>5</v>
      </c>
      <c r="BF16" s="128">
        <f>SUM(BA16:BE16)</f>
        <v>1779</v>
      </c>
      <c r="BG16" s="118"/>
      <c r="BH16" s="118"/>
      <c r="BI16" s="119"/>
    </row>
    <row r="17" spans="1:61" ht="12.75" customHeight="1" x14ac:dyDescent="0.2">
      <c r="A17" s="28">
        <v>7</v>
      </c>
      <c r="B17" s="29" t="s">
        <v>28</v>
      </c>
      <c r="C17" s="78"/>
      <c r="D17" s="78"/>
      <c r="E17" s="78"/>
      <c r="F17" s="78"/>
      <c r="G17" s="78"/>
      <c r="H17" s="78"/>
      <c r="I17" s="59"/>
      <c r="J17" s="53"/>
      <c r="K17" s="54"/>
      <c r="L17" s="30" t="s">
        <v>30</v>
      </c>
      <c r="M17" s="81">
        <v>251</v>
      </c>
      <c r="N17" s="81">
        <v>275</v>
      </c>
      <c r="O17" s="81">
        <v>97</v>
      </c>
      <c r="P17" s="65">
        <v>0</v>
      </c>
      <c r="Q17" s="65">
        <v>8</v>
      </c>
      <c r="R17" s="57">
        <f t="shared" si="1"/>
        <v>631</v>
      </c>
      <c r="S17" s="53"/>
      <c r="T17" s="53"/>
      <c r="U17" s="54"/>
      <c r="V17" s="30" t="s">
        <v>30</v>
      </c>
      <c r="W17" s="65">
        <v>186</v>
      </c>
      <c r="X17" s="65">
        <v>261</v>
      </c>
      <c r="Y17" s="65">
        <v>101</v>
      </c>
      <c r="Z17" s="65">
        <v>0</v>
      </c>
      <c r="AA17" s="65">
        <v>17</v>
      </c>
      <c r="AB17" s="57">
        <f t="shared" si="2"/>
        <v>565</v>
      </c>
      <c r="AC17" s="55"/>
      <c r="AD17" s="55"/>
      <c r="AE17" s="55"/>
      <c r="AF17" s="36" t="s">
        <v>24</v>
      </c>
      <c r="AG17" s="206">
        <v>0</v>
      </c>
      <c r="AH17" s="323">
        <v>668</v>
      </c>
      <c r="AI17" s="323">
        <v>110</v>
      </c>
      <c r="AJ17" s="323">
        <v>8</v>
      </c>
      <c r="AK17" s="323">
        <v>41</v>
      </c>
      <c r="AL17" s="324">
        <f>SUM(AG17:AK17)</f>
        <v>827</v>
      </c>
      <c r="AM17" s="55"/>
      <c r="AN17" s="55"/>
      <c r="AO17" s="55"/>
      <c r="AP17" s="34" t="s">
        <v>31</v>
      </c>
      <c r="AQ17" s="60"/>
      <c r="AR17" s="60"/>
      <c r="AS17" s="60"/>
      <c r="AT17" s="60"/>
      <c r="AU17" s="60"/>
      <c r="AV17" s="60"/>
      <c r="AW17" s="322"/>
      <c r="AX17" s="322"/>
      <c r="AY17" s="103"/>
      <c r="AZ17" s="30" t="s">
        <v>32</v>
      </c>
      <c r="BA17" s="128">
        <v>607</v>
      </c>
      <c r="BB17" s="128">
        <v>859</v>
      </c>
      <c r="BC17" s="128">
        <v>177</v>
      </c>
      <c r="BD17" s="128">
        <f>1</f>
        <v>1</v>
      </c>
      <c r="BE17" s="128">
        <f>17+18</f>
        <v>35</v>
      </c>
      <c r="BF17" s="128">
        <f>SUM(BA17:BE17)</f>
        <v>1679</v>
      </c>
      <c r="BG17" s="118"/>
      <c r="BH17" s="118"/>
      <c r="BI17" s="119"/>
    </row>
    <row r="18" spans="1:61" ht="12.75" customHeight="1" x14ac:dyDescent="0.2">
      <c r="A18" s="28">
        <v>8</v>
      </c>
      <c r="B18" s="29" t="s">
        <v>31</v>
      </c>
      <c r="C18" s="72"/>
      <c r="D18" s="72"/>
      <c r="E18" s="72"/>
      <c r="F18" s="72"/>
      <c r="G18" s="72"/>
      <c r="H18" s="72"/>
      <c r="I18" s="53"/>
      <c r="J18" s="53"/>
      <c r="K18" s="54"/>
      <c r="L18" s="30" t="s">
        <v>32</v>
      </c>
      <c r="M18" s="81">
        <v>573</v>
      </c>
      <c r="N18" s="81">
        <v>777</v>
      </c>
      <c r="O18" s="81">
        <v>166</v>
      </c>
      <c r="P18" s="81">
        <f>12+2</f>
        <v>14</v>
      </c>
      <c r="Q18" s="81">
        <f>11+13</f>
        <v>24</v>
      </c>
      <c r="R18" s="57">
        <f t="shared" si="1"/>
        <v>1554</v>
      </c>
      <c r="S18" s="53"/>
      <c r="T18" s="53"/>
      <c r="U18" s="53"/>
      <c r="V18" s="30" t="s">
        <v>32</v>
      </c>
      <c r="W18" s="81">
        <v>430</v>
      </c>
      <c r="X18" s="81">
        <v>682</v>
      </c>
      <c r="Y18" s="81">
        <v>131</v>
      </c>
      <c r="Z18" s="81">
        <v>3</v>
      </c>
      <c r="AA18" s="81">
        <f>16+7</f>
        <v>23</v>
      </c>
      <c r="AB18" s="57">
        <f t="shared" si="2"/>
        <v>1269</v>
      </c>
      <c r="AC18" s="55"/>
      <c r="AD18" s="55"/>
      <c r="AE18" s="55"/>
      <c r="AF18" s="30" t="s">
        <v>28</v>
      </c>
      <c r="AG18" s="193"/>
      <c r="AH18" s="193"/>
      <c r="AI18" s="193"/>
      <c r="AJ18" s="193"/>
      <c r="AK18" s="193"/>
      <c r="AL18" s="60"/>
      <c r="AM18" s="55"/>
      <c r="AN18" s="55"/>
      <c r="AO18" s="55"/>
      <c r="AP18" s="34" t="s">
        <v>26</v>
      </c>
      <c r="AQ18" s="155" t="s">
        <v>33</v>
      </c>
      <c r="AR18"/>
      <c r="AS18"/>
      <c r="AT18"/>
      <c r="AU18"/>
      <c r="AV18"/>
      <c r="AW18" s="104"/>
      <c r="AX18" s="104"/>
      <c r="AY18" s="104"/>
      <c r="AZ18" s="30" t="s">
        <v>27</v>
      </c>
      <c r="BA18" s="128">
        <v>641</v>
      </c>
      <c r="BB18" s="128">
        <v>962</v>
      </c>
      <c r="BC18" s="128">
        <v>169</v>
      </c>
      <c r="BD18" s="128">
        <v>2</v>
      </c>
      <c r="BE18" s="128">
        <f>7+12</f>
        <v>19</v>
      </c>
      <c r="BF18" s="128">
        <f>SUM(BA18:BE18)</f>
        <v>1793</v>
      </c>
      <c r="BG18" s="118"/>
      <c r="BH18" s="118"/>
      <c r="BI18" s="119"/>
    </row>
    <row r="19" spans="1:61" ht="12.75" customHeight="1" x14ac:dyDescent="0.2">
      <c r="A19" s="28">
        <v>9</v>
      </c>
      <c r="B19" s="29" t="s">
        <v>26</v>
      </c>
      <c r="C19" s="73">
        <v>582</v>
      </c>
      <c r="D19" s="73">
        <v>992</v>
      </c>
      <c r="E19" s="73">
        <v>170</v>
      </c>
      <c r="F19" s="73">
        <v>10</v>
      </c>
      <c r="G19" s="73">
        <f>8+3</f>
        <v>11</v>
      </c>
      <c r="H19" s="73">
        <f>SUM(C19:G19)</f>
        <v>1765</v>
      </c>
      <c r="I19" s="53"/>
      <c r="J19" s="53"/>
      <c r="K19" s="54"/>
      <c r="L19" s="30" t="s">
        <v>27</v>
      </c>
      <c r="M19" s="81">
        <v>680</v>
      </c>
      <c r="N19" s="81">
        <v>988</v>
      </c>
      <c r="O19" s="81">
        <v>175</v>
      </c>
      <c r="P19" s="81">
        <f>14+3</f>
        <v>17</v>
      </c>
      <c r="Q19" s="81">
        <v>0</v>
      </c>
      <c r="R19" s="57">
        <f t="shared" si="1"/>
        <v>1860</v>
      </c>
      <c r="S19" s="59"/>
      <c r="T19" s="53"/>
      <c r="U19" s="54"/>
      <c r="V19" s="30" t="s">
        <v>27</v>
      </c>
      <c r="W19" s="81">
        <v>599</v>
      </c>
      <c r="X19" s="81">
        <v>937</v>
      </c>
      <c r="Y19" s="81">
        <v>142</v>
      </c>
      <c r="Z19" s="81">
        <v>21</v>
      </c>
      <c r="AA19" s="81">
        <f>16+6</f>
        <v>22</v>
      </c>
      <c r="AB19" s="57">
        <f t="shared" si="2"/>
        <v>1721</v>
      </c>
      <c r="AC19" s="55"/>
      <c r="AD19" s="55"/>
      <c r="AE19" s="55"/>
      <c r="AF19" s="30" t="s">
        <v>31</v>
      </c>
      <c r="AG19" s="193"/>
      <c r="AH19" s="193"/>
      <c r="AI19" s="193"/>
      <c r="AJ19" s="193"/>
      <c r="AK19" s="193"/>
      <c r="AL19" s="60"/>
      <c r="AM19" s="55"/>
      <c r="AN19" s="55"/>
      <c r="AO19" s="55"/>
      <c r="AP19" s="34" t="s">
        <v>30</v>
      </c>
      <c r="AQ19" s="65">
        <v>668</v>
      </c>
      <c r="AR19" s="65">
        <v>1113</v>
      </c>
      <c r="AS19" s="65">
        <v>200</v>
      </c>
      <c r="AT19" s="65">
        <v>12</v>
      </c>
      <c r="AU19" s="65">
        <v>5</v>
      </c>
      <c r="AV19" s="112">
        <f>SUM(AQ19:AU19)</f>
        <v>1998</v>
      </c>
      <c r="AW19" s="105"/>
      <c r="AX19" s="105"/>
      <c r="AY19" s="54"/>
      <c r="AZ19" s="30" t="s">
        <v>24</v>
      </c>
      <c r="BA19" s="162">
        <v>696</v>
      </c>
      <c r="BB19" s="314">
        <v>0</v>
      </c>
      <c r="BC19" s="128">
        <v>127</v>
      </c>
      <c r="BD19" s="128">
        <f>1</f>
        <v>1</v>
      </c>
      <c r="BE19" s="128">
        <v>26</v>
      </c>
      <c r="BF19" s="128">
        <f>SUM(BA19:BE19)</f>
        <v>850</v>
      </c>
      <c r="BG19" s="121"/>
      <c r="BH19" s="121"/>
      <c r="BI19" s="122"/>
    </row>
    <row r="20" spans="1:61" ht="12.75" customHeight="1" x14ac:dyDescent="0.2">
      <c r="A20" s="28">
        <v>10</v>
      </c>
      <c r="B20" s="29" t="s">
        <v>30</v>
      </c>
      <c r="C20" s="77">
        <v>710</v>
      </c>
      <c r="D20" s="77">
        <v>1176</v>
      </c>
      <c r="E20" s="77">
        <v>135</v>
      </c>
      <c r="F20" s="77">
        <f>14+3</f>
        <v>17</v>
      </c>
      <c r="G20" s="77">
        <f>1+7</f>
        <v>8</v>
      </c>
      <c r="H20" s="77">
        <f>SUM(C20:G20)</f>
        <v>2046</v>
      </c>
      <c r="I20" s="53"/>
      <c r="J20" s="53"/>
      <c r="K20" s="54"/>
      <c r="L20" s="30" t="s">
        <v>24</v>
      </c>
      <c r="M20" s="81">
        <v>416</v>
      </c>
      <c r="N20" s="81">
        <v>603</v>
      </c>
      <c r="O20" s="81">
        <v>133</v>
      </c>
      <c r="P20" s="81">
        <f>8+3</f>
        <v>11</v>
      </c>
      <c r="Q20" s="81">
        <v>1</v>
      </c>
      <c r="R20" s="57">
        <f t="shared" si="1"/>
        <v>1164</v>
      </c>
      <c r="S20" s="53"/>
      <c r="T20" s="53"/>
      <c r="U20" s="54"/>
      <c r="V20" s="30" t="s">
        <v>24</v>
      </c>
      <c r="W20" s="81">
        <v>378</v>
      </c>
      <c r="X20" s="81">
        <v>617</v>
      </c>
      <c r="Y20" s="81">
        <v>138</v>
      </c>
      <c r="Z20" s="81">
        <v>21</v>
      </c>
      <c r="AA20" s="81">
        <v>16</v>
      </c>
      <c r="AB20" s="57">
        <f t="shared" si="2"/>
        <v>1170</v>
      </c>
      <c r="AC20" s="55"/>
      <c r="AD20" s="55"/>
      <c r="AE20" s="55"/>
      <c r="AF20" s="30" t="s">
        <v>26</v>
      </c>
      <c r="AG20" s="325" t="s">
        <v>63</v>
      </c>
      <c r="AH20" s="326"/>
      <c r="AI20" s="326"/>
      <c r="AJ20" s="326"/>
      <c r="AK20" s="326"/>
      <c r="AL20" s="327"/>
      <c r="AM20" s="55"/>
      <c r="AN20" s="55"/>
      <c r="AO20" s="55"/>
      <c r="AP20" s="34" t="s">
        <v>32</v>
      </c>
      <c r="AQ20" s="65">
        <v>566</v>
      </c>
      <c r="AR20" s="81">
        <v>892</v>
      </c>
      <c r="AS20" s="81">
        <v>191</v>
      </c>
      <c r="AT20" s="81">
        <v>12</v>
      </c>
      <c r="AU20" s="81">
        <v>33</v>
      </c>
      <c r="AV20" s="112">
        <f>SUM(AQ20:AU20)</f>
        <v>1694</v>
      </c>
      <c r="AW20" s="105"/>
      <c r="AX20" s="105"/>
      <c r="AY20" s="106"/>
      <c r="AZ20" s="30" t="s">
        <v>28</v>
      </c>
      <c r="BA20" s="129"/>
      <c r="BB20" s="129"/>
      <c r="BC20" s="129"/>
      <c r="BD20" s="129"/>
      <c r="BE20" s="129"/>
      <c r="BF20" s="129"/>
      <c r="BG20" s="118"/>
      <c r="BH20" s="118"/>
      <c r="BI20" s="119"/>
    </row>
    <row r="21" spans="1:61" ht="12.75" customHeight="1" x14ac:dyDescent="0.2">
      <c r="A21" s="28">
        <v>11</v>
      </c>
      <c r="B21" s="29" t="s">
        <v>32</v>
      </c>
      <c r="C21" s="77">
        <v>575</v>
      </c>
      <c r="D21" s="77">
        <v>910</v>
      </c>
      <c r="E21" s="77">
        <v>145</v>
      </c>
      <c r="F21" s="77">
        <f>12+3</f>
        <v>15</v>
      </c>
      <c r="G21" s="77">
        <f>8+37</f>
        <v>45</v>
      </c>
      <c r="H21" s="77">
        <f>SUM(C21:G21)</f>
        <v>1690</v>
      </c>
      <c r="I21" s="53"/>
      <c r="J21" s="53"/>
      <c r="K21" s="54"/>
      <c r="L21" s="30" t="s">
        <v>28</v>
      </c>
      <c r="M21" s="84"/>
      <c r="N21" s="84"/>
      <c r="O21" s="84"/>
      <c r="P21" s="84"/>
      <c r="Q21" s="84"/>
      <c r="R21" s="328"/>
      <c r="S21" s="53"/>
      <c r="T21" s="53"/>
      <c r="U21" s="54"/>
      <c r="V21" s="30" t="s">
        <v>28</v>
      </c>
      <c r="W21" s="60"/>
      <c r="X21" s="60"/>
      <c r="Y21" s="60"/>
      <c r="Z21" s="60"/>
      <c r="AA21" s="60"/>
      <c r="AB21" s="88"/>
      <c r="AC21" s="53"/>
      <c r="AD21" s="53"/>
      <c r="AE21" s="54"/>
      <c r="AF21" s="30" t="s">
        <v>30</v>
      </c>
      <c r="AG21" s="83">
        <v>669</v>
      </c>
      <c r="AH21" s="83">
        <v>929</v>
      </c>
      <c r="AI21" s="83">
        <v>171</v>
      </c>
      <c r="AJ21" s="83">
        <v>3</v>
      </c>
      <c r="AK21" s="83">
        <v>0</v>
      </c>
      <c r="AL21" s="204">
        <f>SUM(AG21:AK21)</f>
        <v>1772</v>
      </c>
      <c r="AM21" s="55"/>
      <c r="AN21" s="55"/>
      <c r="AO21" s="55"/>
      <c r="AP21" s="35" t="s">
        <v>27</v>
      </c>
      <c r="AQ21" s="65">
        <v>716</v>
      </c>
      <c r="AR21" s="81">
        <v>1000</v>
      </c>
      <c r="AS21" s="81">
        <v>175</v>
      </c>
      <c r="AT21" s="81">
        <v>12</v>
      </c>
      <c r="AU21" s="81">
        <f>37+4</f>
        <v>41</v>
      </c>
      <c r="AV21" s="112">
        <f>SUM(AQ21:AU21)</f>
        <v>1944</v>
      </c>
      <c r="AW21" s="105"/>
      <c r="AX21" s="105"/>
      <c r="AY21" s="106"/>
      <c r="AZ21" s="30" t="s">
        <v>31</v>
      </c>
      <c r="BA21" s="120"/>
      <c r="BB21" s="120"/>
      <c r="BC21" s="120"/>
      <c r="BD21" s="120"/>
      <c r="BE21" s="120"/>
      <c r="BF21" s="120"/>
      <c r="BG21" s="118"/>
      <c r="BH21" s="118"/>
      <c r="BI21" s="119"/>
    </row>
    <row r="22" spans="1:61" ht="12.75" customHeight="1" x14ac:dyDescent="0.2">
      <c r="A22" s="28">
        <v>12</v>
      </c>
      <c r="B22" s="29" t="s">
        <v>27</v>
      </c>
      <c r="C22" s="77">
        <v>608</v>
      </c>
      <c r="D22" s="77">
        <v>986</v>
      </c>
      <c r="E22" s="77">
        <v>155</v>
      </c>
      <c r="F22" s="77">
        <f>13+3</f>
        <v>16</v>
      </c>
      <c r="G22" s="77">
        <v>1</v>
      </c>
      <c r="H22" s="77">
        <f>SUM(C22:G22)</f>
        <v>1766</v>
      </c>
      <c r="I22" s="53"/>
      <c r="J22" s="53"/>
      <c r="K22" s="54"/>
      <c r="L22" s="30" t="s">
        <v>31</v>
      </c>
      <c r="M22" s="60"/>
      <c r="N22" s="60"/>
      <c r="O22" s="60"/>
      <c r="P22" s="60"/>
      <c r="Q22" s="60"/>
      <c r="R22" s="88"/>
      <c r="S22" s="53"/>
      <c r="T22" s="53"/>
      <c r="U22" s="53"/>
      <c r="V22" s="30" t="s">
        <v>31</v>
      </c>
      <c r="W22" s="60"/>
      <c r="X22" s="60"/>
      <c r="Y22" s="60"/>
      <c r="Z22" s="60"/>
      <c r="AA22" s="60"/>
      <c r="AB22" s="88"/>
      <c r="AC22" s="53"/>
      <c r="AD22" s="53"/>
      <c r="AE22" s="54"/>
      <c r="AF22" s="30" t="s">
        <v>32</v>
      </c>
      <c r="AG22" s="196">
        <v>570</v>
      </c>
      <c r="AH22" s="196">
        <v>890</v>
      </c>
      <c r="AI22" s="196">
        <v>164</v>
      </c>
      <c r="AJ22" s="196">
        <v>3</v>
      </c>
      <c r="AK22" s="196">
        <v>24</v>
      </c>
      <c r="AL22" s="204">
        <f>SUM(AG22:AK22)</f>
        <v>1651</v>
      </c>
      <c r="AM22" s="55"/>
      <c r="AN22" s="55"/>
      <c r="AO22" s="55"/>
      <c r="AP22" s="35" t="s">
        <v>24</v>
      </c>
      <c r="AQ22" s="65">
        <v>765</v>
      </c>
      <c r="AR22" s="329">
        <v>0</v>
      </c>
      <c r="AS22" s="81">
        <v>131</v>
      </c>
      <c r="AT22" s="81">
        <f>2</f>
        <v>2</v>
      </c>
      <c r="AU22" s="81">
        <f>7</f>
        <v>7</v>
      </c>
      <c r="AV22" s="112">
        <f>SUM(AQ22:AU22)</f>
        <v>905</v>
      </c>
      <c r="AW22" s="107"/>
      <c r="AX22" s="107"/>
      <c r="AY22" s="106"/>
      <c r="AZ22" s="30" t="s">
        <v>26</v>
      </c>
      <c r="BA22" s="215">
        <v>600</v>
      </c>
      <c r="BB22" s="215">
        <v>901</v>
      </c>
      <c r="BC22" s="215">
        <v>187</v>
      </c>
      <c r="BD22" s="215">
        <v>10</v>
      </c>
      <c r="BE22" s="215">
        <v>66</v>
      </c>
      <c r="BF22" s="215">
        <f>SUM(BA22:BE22)</f>
        <v>1764</v>
      </c>
      <c r="BG22" s="118"/>
      <c r="BH22" s="118"/>
      <c r="BI22" s="119"/>
    </row>
    <row r="23" spans="1:61" ht="12.75" customHeight="1" x14ac:dyDescent="0.2">
      <c r="A23" s="28">
        <v>13</v>
      </c>
      <c r="B23" s="29" t="s">
        <v>24</v>
      </c>
      <c r="C23" s="77">
        <v>349</v>
      </c>
      <c r="D23" s="77">
        <v>554</v>
      </c>
      <c r="E23" s="77">
        <v>124</v>
      </c>
      <c r="F23" s="77">
        <f>8+3</f>
        <v>11</v>
      </c>
      <c r="G23" s="77">
        <v>8</v>
      </c>
      <c r="H23" s="77">
        <f>SUM(C23:G23)</f>
        <v>1046</v>
      </c>
      <c r="I23" s="53"/>
      <c r="J23" s="53"/>
      <c r="K23" s="54"/>
      <c r="L23" s="30" t="s">
        <v>26</v>
      </c>
      <c r="M23" s="81">
        <v>579</v>
      </c>
      <c r="N23" s="81">
        <v>941</v>
      </c>
      <c r="O23" s="81">
        <v>188</v>
      </c>
      <c r="P23" s="81">
        <f>12</f>
        <v>12</v>
      </c>
      <c r="Q23" s="81">
        <f>1+10</f>
        <v>11</v>
      </c>
      <c r="R23" s="330">
        <f>SUM(M23:Q23)</f>
        <v>1731</v>
      </c>
      <c r="S23" s="59"/>
      <c r="T23" s="53"/>
      <c r="U23" s="54"/>
      <c r="V23" s="30" t="s">
        <v>26</v>
      </c>
      <c r="W23" s="81">
        <v>629</v>
      </c>
      <c r="X23" s="81">
        <v>970</v>
      </c>
      <c r="Y23" s="81">
        <v>161</v>
      </c>
      <c r="Z23" s="81">
        <f>10+2</f>
        <v>12</v>
      </c>
      <c r="AA23" s="81">
        <f>12+8</f>
        <v>20</v>
      </c>
      <c r="AB23" s="57">
        <f t="shared" si="2"/>
        <v>1792</v>
      </c>
      <c r="AC23" s="53"/>
      <c r="AD23" s="53"/>
      <c r="AE23" s="54"/>
      <c r="AF23" s="30" t="s">
        <v>27</v>
      </c>
      <c r="AG23" s="196">
        <v>533</v>
      </c>
      <c r="AH23" s="196">
        <v>819</v>
      </c>
      <c r="AI23" s="196">
        <v>155</v>
      </c>
      <c r="AJ23" s="196">
        <v>3</v>
      </c>
      <c r="AK23" s="196">
        <v>22</v>
      </c>
      <c r="AL23" s="204">
        <f>SUM(AG23:AK23)</f>
        <v>1532</v>
      </c>
      <c r="AM23" s="55"/>
      <c r="AN23" s="55"/>
      <c r="AO23" s="55"/>
      <c r="AP23" s="34" t="s">
        <v>28</v>
      </c>
      <c r="AQ23" s="109"/>
      <c r="AR23" s="109"/>
      <c r="AS23" s="109"/>
      <c r="AT23" s="109"/>
      <c r="AU23" s="109"/>
      <c r="AV23" s="109"/>
      <c r="AW23" s="108"/>
      <c r="AX23" s="108"/>
      <c r="AY23" s="106"/>
      <c r="AZ23" s="30" t="s">
        <v>30</v>
      </c>
      <c r="BA23" s="123">
        <v>710</v>
      </c>
      <c r="BB23" s="123">
        <v>1046</v>
      </c>
      <c r="BC23" s="123">
        <v>179</v>
      </c>
      <c r="BD23" s="123">
        <f>9+2</f>
        <v>11</v>
      </c>
      <c r="BE23" s="123">
        <f>9</f>
        <v>9</v>
      </c>
      <c r="BF23" s="128">
        <f>SUM(BA23:BE23)</f>
        <v>1955</v>
      </c>
      <c r="BG23" s="118"/>
      <c r="BH23" s="118"/>
      <c r="BI23" s="119"/>
    </row>
    <row r="24" spans="1:61" ht="12.75" customHeight="1" x14ac:dyDescent="0.2">
      <c r="A24" s="28">
        <v>14</v>
      </c>
      <c r="B24" s="29" t="s">
        <v>28</v>
      </c>
      <c r="C24" s="78"/>
      <c r="D24" s="78"/>
      <c r="E24" s="78"/>
      <c r="F24" s="78"/>
      <c r="G24" s="78"/>
      <c r="H24" s="78"/>
      <c r="I24" s="53"/>
      <c r="J24" s="53"/>
      <c r="K24" s="54"/>
      <c r="L24" s="30" t="s">
        <v>30</v>
      </c>
      <c r="M24" s="81">
        <v>690</v>
      </c>
      <c r="N24" s="81">
        <v>933</v>
      </c>
      <c r="O24" s="81">
        <v>168</v>
      </c>
      <c r="P24" s="81">
        <f>2+15</f>
        <v>17</v>
      </c>
      <c r="Q24" s="81">
        <f>1+56</f>
        <v>57</v>
      </c>
      <c r="R24" s="57">
        <f t="shared" si="1"/>
        <v>1865</v>
      </c>
      <c r="S24" s="62"/>
      <c r="T24" s="62"/>
      <c r="U24" s="63"/>
      <c r="V24" s="30" t="s">
        <v>30</v>
      </c>
      <c r="W24" s="65">
        <v>749</v>
      </c>
      <c r="X24" s="65">
        <v>1010</v>
      </c>
      <c r="Y24" s="65">
        <v>181</v>
      </c>
      <c r="Z24" s="65">
        <f>15+2</f>
        <v>17</v>
      </c>
      <c r="AA24" s="65">
        <f>9+8</f>
        <v>17</v>
      </c>
      <c r="AB24" s="57">
        <f t="shared" si="2"/>
        <v>1974</v>
      </c>
      <c r="AC24" s="53"/>
      <c r="AD24" s="53"/>
      <c r="AE24" s="54"/>
      <c r="AF24" s="30" t="s">
        <v>24</v>
      </c>
      <c r="AG24" s="196">
        <v>700</v>
      </c>
      <c r="AH24" s="331">
        <v>0</v>
      </c>
      <c r="AI24" s="196">
        <v>134</v>
      </c>
      <c r="AJ24" s="196">
        <v>1</v>
      </c>
      <c r="AK24" s="196">
        <v>21</v>
      </c>
      <c r="AL24" s="204">
        <f>SUM(AG24:AK24)</f>
        <v>856</v>
      </c>
      <c r="AM24" s="55"/>
      <c r="AN24" s="55"/>
      <c r="AO24" s="55"/>
      <c r="AP24" s="34" t="s">
        <v>31</v>
      </c>
      <c r="AQ24" s="109"/>
      <c r="AR24" s="109"/>
      <c r="AS24" s="109"/>
      <c r="AT24" s="109"/>
      <c r="AU24" s="109"/>
      <c r="AV24" s="109"/>
      <c r="AW24" s="110"/>
      <c r="AX24" s="110"/>
      <c r="AY24" s="111"/>
      <c r="AZ24" s="30" t="s">
        <v>32</v>
      </c>
      <c r="BA24" s="128">
        <v>533</v>
      </c>
      <c r="BB24" s="128">
        <v>797</v>
      </c>
      <c r="BC24" s="128">
        <v>182</v>
      </c>
      <c r="BD24" s="128">
        <v>10</v>
      </c>
      <c r="BE24" s="128">
        <v>8</v>
      </c>
      <c r="BF24" s="128">
        <f>SUM(BA24:BE24)</f>
        <v>1530</v>
      </c>
      <c r="BG24" s="118"/>
      <c r="BH24" s="118"/>
      <c r="BI24" s="119"/>
    </row>
    <row r="25" spans="1:61" ht="12.75" customHeight="1" x14ac:dyDescent="0.2">
      <c r="A25" s="28">
        <v>15</v>
      </c>
      <c r="B25" s="29" t="s">
        <v>31</v>
      </c>
      <c r="C25" s="72"/>
      <c r="D25" s="72"/>
      <c r="E25" s="72"/>
      <c r="F25" s="72"/>
      <c r="G25" s="72"/>
      <c r="H25" s="72"/>
      <c r="I25" s="53"/>
      <c r="J25" s="53"/>
      <c r="K25" s="54"/>
      <c r="L25" s="30" t="s">
        <v>32</v>
      </c>
      <c r="M25" s="81">
        <v>607</v>
      </c>
      <c r="N25" s="81">
        <v>866</v>
      </c>
      <c r="O25" s="81">
        <v>156</v>
      </c>
      <c r="P25" s="81">
        <f>2+12</f>
        <v>14</v>
      </c>
      <c r="Q25" s="81">
        <f>37+8</f>
        <v>45</v>
      </c>
      <c r="R25" s="57">
        <f t="shared" si="1"/>
        <v>1688</v>
      </c>
      <c r="S25" s="156"/>
      <c r="T25"/>
      <c r="U25"/>
      <c r="V25" s="30" t="s">
        <v>32</v>
      </c>
      <c r="W25" s="81">
        <v>400</v>
      </c>
      <c r="X25" s="81">
        <v>657</v>
      </c>
      <c r="Y25" s="81">
        <v>127</v>
      </c>
      <c r="Z25" s="81">
        <v>6</v>
      </c>
      <c r="AA25" s="81">
        <f>27+2</f>
        <v>29</v>
      </c>
      <c r="AB25" s="57">
        <f t="shared" si="2"/>
        <v>1219</v>
      </c>
      <c r="AC25" s="53"/>
      <c r="AD25" s="53"/>
      <c r="AE25" s="54"/>
      <c r="AF25" s="30" t="s">
        <v>28</v>
      </c>
      <c r="AG25" s="193"/>
      <c r="AH25" s="193"/>
      <c r="AI25" s="193"/>
      <c r="AJ25" s="193"/>
      <c r="AK25" s="193"/>
      <c r="AL25" s="60"/>
      <c r="AM25" s="55"/>
      <c r="AN25" s="55"/>
      <c r="AO25" s="55"/>
      <c r="AP25" s="34" t="s">
        <v>26</v>
      </c>
      <c r="AQ25" s="69">
        <v>591</v>
      </c>
      <c r="AR25" s="69">
        <v>971</v>
      </c>
      <c r="AS25" s="69">
        <v>195</v>
      </c>
      <c r="AT25" s="69">
        <f>10+3</f>
        <v>13</v>
      </c>
      <c r="AU25" s="69">
        <v>46</v>
      </c>
      <c r="AV25" s="112">
        <f>SUM(AQ25:AU25)</f>
        <v>1816</v>
      </c>
      <c r="AW25" s="105"/>
      <c r="AX25" s="105"/>
      <c r="AY25" s="106"/>
      <c r="AZ25" s="30" t="s">
        <v>27</v>
      </c>
      <c r="BA25" s="128">
        <v>573</v>
      </c>
      <c r="BB25" s="128">
        <v>828</v>
      </c>
      <c r="BC25" s="128">
        <v>166</v>
      </c>
      <c r="BD25" s="128">
        <v>11</v>
      </c>
      <c r="BE25" s="128">
        <v>39</v>
      </c>
      <c r="BF25" s="128">
        <f>SUM(BA25:BE25)</f>
        <v>1617</v>
      </c>
      <c r="BG25" s="118"/>
      <c r="BH25" s="118"/>
      <c r="BI25" s="119"/>
    </row>
    <row r="26" spans="1:61" ht="12.75" customHeight="1" x14ac:dyDescent="0.2">
      <c r="A26" s="28">
        <v>16</v>
      </c>
      <c r="B26" s="29" t="s">
        <v>26</v>
      </c>
      <c r="C26" s="61">
        <v>552</v>
      </c>
      <c r="D26" s="61">
        <v>974</v>
      </c>
      <c r="E26" s="61">
        <v>195</v>
      </c>
      <c r="F26" s="61">
        <f>8+3</f>
        <v>11</v>
      </c>
      <c r="G26" s="61">
        <f>9+5</f>
        <v>14</v>
      </c>
      <c r="H26" s="61">
        <f>SUM(C26:G26)</f>
        <v>1746</v>
      </c>
      <c r="I26" s="53"/>
      <c r="J26" s="53"/>
      <c r="K26" s="54"/>
      <c r="L26" s="30" t="s">
        <v>27</v>
      </c>
      <c r="M26" s="81">
        <v>402</v>
      </c>
      <c r="N26" s="81">
        <v>616</v>
      </c>
      <c r="O26" s="81">
        <v>138</v>
      </c>
      <c r="P26" s="81">
        <f>1</f>
        <v>1</v>
      </c>
      <c r="Q26" s="81">
        <v>0</v>
      </c>
      <c r="R26" s="57">
        <f t="shared" si="1"/>
        <v>1157</v>
      </c>
      <c r="S26"/>
      <c r="T26"/>
      <c r="U26"/>
      <c r="V26" s="30" t="s">
        <v>27</v>
      </c>
      <c r="W26" s="81">
        <v>600</v>
      </c>
      <c r="X26" s="81">
        <v>945</v>
      </c>
      <c r="Y26" s="81">
        <v>172</v>
      </c>
      <c r="Z26" s="81">
        <v>18</v>
      </c>
      <c r="AA26" s="81">
        <v>21</v>
      </c>
      <c r="AB26" s="57">
        <f t="shared" si="2"/>
        <v>1756</v>
      </c>
      <c r="AC26" s="53"/>
      <c r="AD26" s="53"/>
      <c r="AE26" s="54"/>
      <c r="AF26" s="30" t="s">
        <v>31</v>
      </c>
      <c r="AG26" s="193"/>
      <c r="AH26" s="193"/>
      <c r="AI26" s="193"/>
      <c r="AJ26" s="193"/>
      <c r="AK26" s="193"/>
      <c r="AL26" s="60"/>
      <c r="AM26" s="55"/>
      <c r="AN26" s="55"/>
      <c r="AO26" s="55"/>
      <c r="AP26" s="34" t="s">
        <v>30</v>
      </c>
      <c r="AQ26" s="65">
        <v>701</v>
      </c>
      <c r="AR26" s="65">
        <v>1034</v>
      </c>
      <c r="AS26" s="205">
        <v>172</v>
      </c>
      <c r="AT26" s="65">
        <v>9</v>
      </c>
      <c r="AU26" s="65">
        <f>11+26</f>
        <v>37</v>
      </c>
      <c r="AV26" s="112">
        <f>SUM(AQ26:AU26)</f>
        <v>1953</v>
      </c>
      <c r="AW26" s="89"/>
      <c r="AX26" s="89"/>
      <c r="AY26" s="89"/>
      <c r="AZ26" s="30" t="s">
        <v>24</v>
      </c>
      <c r="BA26" s="314">
        <v>0</v>
      </c>
      <c r="BB26" s="128">
        <v>678</v>
      </c>
      <c r="BC26" s="128">
        <v>139</v>
      </c>
      <c r="BD26" s="128">
        <f>0</f>
        <v>0</v>
      </c>
      <c r="BE26" s="128">
        <v>7</v>
      </c>
      <c r="BF26" s="128">
        <f>SUM(BA26:BE26)</f>
        <v>824</v>
      </c>
      <c r="BG26" s="118"/>
      <c r="BH26" s="118"/>
      <c r="BI26" s="119"/>
    </row>
    <row r="27" spans="1:61" ht="12.75" customHeight="1" x14ac:dyDescent="0.2">
      <c r="A27" s="28">
        <v>17</v>
      </c>
      <c r="B27" s="29" t="s">
        <v>30</v>
      </c>
      <c r="C27" s="77">
        <v>765</v>
      </c>
      <c r="D27" s="77">
        <v>968</v>
      </c>
      <c r="E27" s="77">
        <v>199</v>
      </c>
      <c r="F27" s="77">
        <f>15+3</f>
        <v>18</v>
      </c>
      <c r="G27" s="77">
        <f>11+11</f>
        <v>22</v>
      </c>
      <c r="H27" s="77">
        <f>SUM(C27:G27)</f>
        <v>1972</v>
      </c>
      <c r="I27" s="53"/>
      <c r="J27" s="53"/>
      <c r="K27" s="54"/>
      <c r="L27" s="30" t="s">
        <v>24</v>
      </c>
      <c r="M27" s="81">
        <v>375</v>
      </c>
      <c r="N27" s="81">
        <v>611</v>
      </c>
      <c r="O27" s="81">
        <v>143</v>
      </c>
      <c r="P27" s="81">
        <f>1+6</f>
        <v>7</v>
      </c>
      <c r="Q27" s="81">
        <v>10</v>
      </c>
      <c r="R27" s="57">
        <f t="shared" si="1"/>
        <v>1146</v>
      </c>
      <c r="S27"/>
      <c r="T27"/>
      <c r="U27"/>
      <c r="V27" s="30" t="s">
        <v>24</v>
      </c>
      <c r="W27" s="81">
        <v>377</v>
      </c>
      <c r="X27" s="81">
        <v>604</v>
      </c>
      <c r="Y27" s="81">
        <v>156</v>
      </c>
      <c r="Z27" s="81">
        <v>7</v>
      </c>
      <c r="AA27" s="81">
        <v>13</v>
      </c>
      <c r="AB27" s="57">
        <f t="shared" si="2"/>
        <v>1157</v>
      </c>
      <c r="AC27" s="53"/>
      <c r="AD27" s="53"/>
      <c r="AE27" s="54"/>
      <c r="AF27" s="30" t="s">
        <v>26</v>
      </c>
      <c r="AG27" s="203">
        <v>593</v>
      </c>
      <c r="AH27" s="196">
        <v>917</v>
      </c>
      <c r="AI27" s="196">
        <v>172</v>
      </c>
      <c r="AJ27" s="196">
        <v>9</v>
      </c>
      <c r="AK27" s="196">
        <v>18</v>
      </c>
      <c r="AL27" s="204">
        <f>SUM(AG27:AK27)</f>
        <v>1709</v>
      </c>
      <c r="AM27" s="55"/>
      <c r="AN27" s="55"/>
      <c r="AO27" s="55"/>
      <c r="AP27" s="34" t="s">
        <v>32</v>
      </c>
      <c r="AQ27" s="81">
        <v>468</v>
      </c>
      <c r="AR27" s="81">
        <v>675</v>
      </c>
      <c r="AS27" s="81">
        <v>162</v>
      </c>
      <c r="AT27" s="81">
        <f>9+3</f>
        <v>12</v>
      </c>
      <c r="AU27" s="81">
        <v>5</v>
      </c>
      <c r="AV27" s="112">
        <f>SUM(AQ27:AU27)</f>
        <v>1322</v>
      </c>
      <c r="AW27" s="93"/>
      <c r="AX27" s="93"/>
      <c r="AY27" s="93"/>
      <c r="AZ27" s="30" t="s">
        <v>28</v>
      </c>
      <c r="BA27" s="129"/>
      <c r="BB27" s="129"/>
      <c r="BC27" s="129"/>
      <c r="BD27" s="129"/>
      <c r="BE27" s="129"/>
      <c r="BF27" s="129"/>
      <c r="BG27" s="118"/>
      <c r="BH27" s="118"/>
      <c r="BI27" s="119"/>
    </row>
    <row r="28" spans="1:61" ht="12.75" customHeight="1" x14ac:dyDescent="0.2">
      <c r="A28" s="28">
        <v>18</v>
      </c>
      <c r="B28" s="29" t="s">
        <v>32</v>
      </c>
      <c r="C28" s="77">
        <v>638</v>
      </c>
      <c r="D28" s="77">
        <v>938</v>
      </c>
      <c r="E28" s="77">
        <v>190</v>
      </c>
      <c r="F28" s="77">
        <f>12+3</f>
        <v>15</v>
      </c>
      <c r="G28" s="77">
        <f>11+36</f>
        <v>47</v>
      </c>
      <c r="H28" s="77">
        <f>SUM(C28:G28)</f>
        <v>1828</v>
      </c>
      <c r="I28" s="53"/>
      <c r="J28" s="53"/>
      <c r="K28" s="54"/>
      <c r="L28" s="30" t="s">
        <v>28</v>
      </c>
      <c r="M28" s="84"/>
      <c r="N28" s="84"/>
      <c r="O28" s="84"/>
      <c r="P28" s="84"/>
      <c r="Q28" s="84"/>
      <c r="R28" s="328">
        <f t="shared" si="1"/>
        <v>0</v>
      </c>
      <c r="S28"/>
      <c r="T28"/>
      <c r="U28"/>
      <c r="V28" s="30" t="s">
        <v>28</v>
      </c>
      <c r="W28" s="60"/>
      <c r="X28" s="60"/>
      <c r="Y28" s="60"/>
      <c r="Z28" s="60"/>
      <c r="AA28" s="60"/>
      <c r="AB28" s="88"/>
      <c r="AC28" s="53"/>
      <c r="AD28" s="53"/>
      <c r="AE28" s="54"/>
      <c r="AF28" s="30" t="s">
        <v>30</v>
      </c>
      <c r="AG28" s="203">
        <v>710</v>
      </c>
      <c r="AH28" s="196">
        <v>995</v>
      </c>
      <c r="AI28" s="196">
        <v>176</v>
      </c>
      <c r="AJ28" s="196">
        <v>18</v>
      </c>
      <c r="AK28" s="196">
        <v>33</v>
      </c>
      <c r="AL28" s="204">
        <f>SUM(AG28:AK28)</f>
        <v>1932</v>
      </c>
      <c r="AM28" s="55"/>
      <c r="AN28" s="55"/>
      <c r="AO28" s="55"/>
      <c r="AP28" s="34" t="s">
        <v>27</v>
      </c>
      <c r="AQ28" s="127" t="s">
        <v>49</v>
      </c>
      <c r="AR28" s="127"/>
      <c r="AS28" s="127"/>
      <c r="AT28" s="127"/>
      <c r="AU28" s="127"/>
      <c r="AV28" s="99"/>
      <c r="AW28" s="105"/>
      <c r="AX28" s="105"/>
      <c r="AY28" s="106"/>
      <c r="AZ28" s="30" t="s">
        <v>31</v>
      </c>
      <c r="BA28" s="120"/>
      <c r="BB28" s="120"/>
      <c r="BC28" s="120"/>
      <c r="BD28" s="120"/>
      <c r="BE28" s="120"/>
      <c r="BF28" s="120"/>
      <c r="BG28" s="118"/>
      <c r="BH28" s="118"/>
      <c r="BI28" s="119"/>
    </row>
    <row r="29" spans="1:61" ht="12.75" customHeight="1" x14ac:dyDescent="0.2">
      <c r="A29" s="28">
        <v>19</v>
      </c>
      <c r="B29" s="29" t="s">
        <v>27</v>
      </c>
      <c r="C29" s="77">
        <v>137</v>
      </c>
      <c r="D29" s="77">
        <v>224</v>
      </c>
      <c r="E29" s="77">
        <v>79</v>
      </c>
      <c r="F29" s="77">
        <v>3</v>
      </c>
      <c r="G29" s="77">
        <f>17+17</f>
        <v>34</v>
      </c>
      <c r="H29" s="77">
        <f>SUM(C29:G29)</f>
        <v>477</v>
      </c>
      <c r="I29" s="53"/>
      <c r="J29" s="53"/>
      <c r="K29" s="54"/>
      <c r="L29" s="30" t="s">
        <v>31</v>
      </c>
      <c r="M29" s="60"/>
      <c r="N29" s="60"/>
      <c r="O29" s="60"/>
      <c r="P29" s="60"/>
      <c r="Q29" s="60"/>
      <c r="R29" s="88"/>
      <c r="S29" s="157"/>
      <c r="T29"/>
      <c r="U29"/>
      <c r="V29" s="30" t="s">
        <v>31</v>
      </c>
      <c r="W29" s="60"/>
      <c r="X29" s="60"/>
      <c r="Y29" s="60"/>
      <c r="Z29" s="60"/>
      <c r="AA29" s="60"/>
      <c r="AB29" s="88"/>
      <c r="AC29" s="53"/>
      <c r="AD29" s="53"/>
      <c r="AE29" s="54"/>
      <c r="AF29" s="30" t="s">
        <v>32</v>
      </c>
      <c r="AG29" s="203">
        <v>550</v>
      </c>
      <c r="AH29" s="196">
        <v>820</v>
      </c>
      <c r="AI29" s="196">
        <v>174</v>
      </c>
      <c r="AJ29" s="196">
        <v>3</v>
      </c>
      <c r="AK29" s="196">
        <f>28+3</f>
        <v>31</v>
      </c>
      <c r="AL29" s="204">
        <f>SUM(AG29:AK29)</f>
        <v>1578</v>
      </c>
      <c r="AM29" s="55"/>
      <c r="AN29" s="55"/>
      <c r="AO29" s="55"/>
      <c r="AP29" s="34" t="s">
        <v>24</v>
      </c>
      <c r="AQ29" s="332" t="s">
        <v>64</v>
      </c>
      <c r="AR29" s="332"/>
      <c r="AS29" s="332"/>
      <c r="AT29" s="332"/>
      <c r="AU29" s="332"/>
      <c r="AV29" s="333">
        <f>SUM(AQ29:AU29)</f>
        <v>0</v>
      </c>
      <c r="AW29" s="105"/>
      <c r="AX29" s="105"/>
      <c r="AY29" s="106"/>
      <c r="AZ29" s="30" t="s">
        <v>26</v>
      </c>
      <c r="BA29" s="123">
        <v>506</v>
      </c>
      <c r="BB29" s="123">
        <v>895</v>
      </c>
      <c r="BC29" s="123">
        <v>186</v>
      </c>
      <c r="BD29" s="123">
        <v>12</v>
      </c>
      <c r="BE29" s="123">
        <v>98</v>
      </c>
      <c r="BF29" s="123">
        <f>SUM(BA29:BE29)</f>
        <v>1697</v>
      </c>
      <c r="BG29" s="118"/>
      <c r="BH29" s="118"/>
      <c r="BI29" s="119"/>
    </row>
    <row r="30" spans="1:61" ht="12.75" customHeight="1" x14ac:dyDescent="0.2">
      <c r="A30" s="28">
        <v>20</v>
      </c>
      <c r="B30" s="29" t="s">
        <v>24</v>
      </c>
      <c r="C30" s="77">
        <v>386</v>
      </c>
      <c r="D30" s="77">
        <v>589</v>
      </c>
      <c r="E30" s="77">
        <v>133</v>
      </c>
      <c r="F30" s="77">
        <f>6+3</f>
        <v>9</v>
      </c>
      <c r="G30" s="77">
        <v>0</v>
      </c>
      <c r="H30" s="77">
        <f>SUM(C30:G30)</f>
        <v>1117</v>
      </c>
      <c r="I30" s="53"/>
      <c r="J30" s="53"/>
      <c r="K30" s="54"/>
      <c r="L30" s="30" t="s">
        <v>26</v>
      </c>
      <c r="M30" s="61">
        <v>520</v>
      </c>
      <c r="N30" s="61">
        <v>827</v>
      </c>
      <c r="O30" s="61">
        <v>161</v>
      </c>
      <c r="P30" s="61">
        <f>10+3</f>
        <v>13</v>
      </c>
      <c r="Q30" s="61">
        <v>0</v>
      </c>
      <c r="R30" s="330">
        <f>SUM(M30:Q30)</f>
        <v>1521</v>
      </c>
      <c r="S30"/>
      <c r="T30"/>
      <c r="U30"/>
      <c r="V30" s="30" t="s">
        <v>26</v>
      </c>
      <c r="W30" s="81">
        <v>613</v>
      </c>
      <c r="X30" s="81">
        <v>1004</v>
      </c>
      <c r="Y30" s="81">
        <v>183</v>
      </c>
      <c r="Z30" s="81">
        <v>0</v>
      </c>
      <c r="AA30" s="81">
        <v>11</v>
      </c>
      <c r="AB30" s="57">
        <f t="shared" si="2"/>
        <v>1811</v>
      </c>
      <c r="AC30" s="53"/>
      <c r="AD30" s="53"/>
      <c r="AE30" s="54"/>
      <c r="AF30" s="30" t="s">
        <v>27</v>
      </c>
      <c r="AG30" s="203">
        <v>534</v>
      </c>
      <c r="AH30" s="196">
        <v>877</v>
      </c>
      <c r="AI30" s="196">
        <v>158</v>
      </c>
      <c r="AJ30" s="196">
        <v>12</v>
      </c>
      <c r="AK30" s="196">
        <v>40</v>
      </c>
      <c r="AL30" s="204">
        <f>SUM(AG30:AK30)</f>
        <v>1621</v>
      </c>
      <c r="AM30" s="55"/>
      <c r="AN30" s="55"/>
      <c r="AO30" s="55"/>
      <c r="AP30" s="34" t="s">
        <v>28</v>
      </c>
      <c r="AQ30" s="60"/>
      <c r="AR30" s="60"/>
      <c r="AS30" s="60"/>
      <c r="AT30" s="60"/>
      <c r="AU30" s="60"/>
      <c r="AV30" s="60"/>
      <c r="AW30" s="89"/>
      <c r="AX30" s="89"/>
      <c r="AY30" s="89"/>
      <c r="AZ30" s="30" t="s">
        <v>30</v>
      </c>
      <c r="BA30" s="123">
        <v>616</v>
      </c>
      <c r="BB30" s="123">
        <v>980</v>
      </c>
      <c r="BC30" s="123">
        <v>187</v>
      </c>
      <c r="BD30" s="123">
        <v>12</v>
      </c>
      <c r="BE30" s="123">
        <v>61</v>
      </c>
      <c r="BF30" s="128">
        <f>SUM(BA30:BE30)</f>
        <v>1856</v>
      </c>
      <c r="BG30" s="118"/>
      <c r="BH30" s="118"/>
      <c r="BI30" s="119"/>
    </row>
    <row r="31" spans="1:61" ht="12.75" customHeight="1" x14ac:dyDescent="0.2">
      <c r="A31" s="28">
        <v>21</v>
      </c>
      <c r="B31" s="29" t="s">
        <v>28</v>
      </c>
      <c r="C31" s="78"/>
      <c r="D31" s="78"/>
      <c r="E31" s="78"/>
      <c r="F31" s="78"/>
      <c r="G31" s="78"/>
      <c r="H31" s="78"/>
      <c r="I31" s="53"/>
      <c r="J31" s="53"/>
      <c r="K31" s="54"/>
      <c r="L31" s="30" t="s">
        <v>30</v>
      </c>
      <c r="M31" s="65">
        <v>643</v>
      </c>
      <c r="N31" s="65">
        <v>930</v>
      </c>
      <c r="O31" s="65">
        <v>152</v>
      </c>
      <c r="P31" s="65">
        <v>14</v>
      </c>
      <c r="Q31" s="65">
        <v>0</v>
      </c>
      <c r="R31" s="57">
        <f t="shared" si="1"/>
        <v>1739</v>
      </c>
      <c r="S31"/>
      <c r="T31"/>
      <c r="U31"/>
      <c r="V31" s="30" t="s">
        <v>30</v>
      </c>
      <c r="W31" s="65">
        <v>734</v>
      </c>
      <c r="X31" s="65">
        <v>1072</v>
      </c>
      <c r="Y31" s="65">
        <v>190</v>
      </c>
      <c r="Z31" s="65">
        <v>0</v>
      </c>
      <c r="AA31" s="65">
        <f>16+43</f>
        <v>59</v>
      </c>
      <c r="AB31" s="57">
        <f t="shared" si="2"/>
        <v>2055</v>
      </c>
      <c r="AC31" s="53"/>
      <c r="AD31" s="53"/>
      <c r="AE31" s="54"/>
      <c r="AF31" s="30" t="s">
        <v>24</v>
      </c>
      <c r="AG31" s="334">
        <v>0</v>
      </c>
      <c r="AH31" s="317">
        <v>781</v>
      </c>
      <c r="AI31" s="317">
        <v>145</v>
      </c>
      <c r="AJ31" s="317">
        <v>5</v>
      </c>
      <c r="AK31" s="317">
        <v>14</v>
      </c>
      <c r="AL31" s="324">
        <f>SUM(AG31:AK31)</f>
        <v>945</v>
      </c>
      <c r="AM31" s="55"/>
      <c r="AN31" s="55"/>
      <c r="AO31" s="55"/>
      <c r="AP31" s="34" t="s">
        <v>31</v>
      </c>
      <c r="AQ31" s="60"/>
      <c r="AR31" s="60"/>
      <c r="AS31" s="60"/>
      <c r="AT31" s="60"/>
      <c r="AU31" s="60"/>
      <c r="AV31" s="207"/>
      <c r="AW31" s="55"/>
      <c r="AX31" s="55"/>
      <c r="AY31" s="55"/>
      <c r="AZ31" s="30" t="s">
        <v>32</v>
      </c>
      <c r="BA31" s="128">
        <v>555</v>
      </c>
      <c r="BB31" s="128">
        <v>793</v>
      </c>
      <c r="BC31" s="128">
        <v>192</v>
      </c>
      <c r="BD31" s="128">
        <v>7</v>
      </c>
      <c r="BE31" s="128">
        <v>25</v>
      </c>
      <c r="BF31" s="128">
        <f t="shared" ref="BF31:BF33" si="3">SUM(BA31:BE31)</f>
        <v>1572</v>
      </c>
      <c r="BG31" s="118"/>
      <c r="BH31" s="118"/>
      <c r="BI31" s="119"/>
    </row>
    <row r="32" spans="1:61" ht="12.75" customHeight="1" x14ac:dyDescent="0.2">
      <c r="A32" s="28">
        <v>22</v>
      </c>
      <c r="B32" s="29" t="s">
        <v>31</v>
      </c>
      <c r="C32" s="72"/>
      <c r="D32" s="72"/>
      <c r="E32" s="72"/>
      <c r="F32" s="72"/>
      <c r="G32" s="72"/>
      <c r="H32" s="72"/>
      <c r="I32" s="335"/>
      <c r="J32" s="53"/>
      <c r="K32" s="54"/>
      <c r="L32" s="30" t="s">
        <v>32</v>
      </c>
      <c r="M32" s="85">
        <v>505</v>
      </c>
      <c r="N32" s="86">
        <v>775</v>
      </c>
      <c r="O32" s="86">
        <v>164</v>
      </c>
      <c r="P32" s="86">
        <f>8+1</f>
        <v>9</v>
      </c>
      <c r="Q32" s="86">
        <v>0</v>
      </c>
      <c r="R32" s="57">
        <f t="shared" si="1"/>
        <v>1453</v>
      </c>
      <c r="S32"/>
      <c r="T32"/>
      <c r="U32"/>
      <c r="V32" s="30" t="s">
        <v>32</v>
      </c>
      <c r="W32" s="81">
        <v>600</v>
      </c>
      <c r="X32" s="81">
        <v>934</v>
      </c>
      <c r="Y32" s="81">
        <v>185</v>
      </c>
      <c r="Z32" s="81">
        <f>2+12</f>
        <v>14</v>
      </c>
      <c r="AA32" s="81">
        <v>0</v>
      </c>
      <c r="AB32" s="57">
        <f t="shared" si="2"/>
        <v>1733</v>
      </c>
      <c r="AC32" s="53"/>
      <c r="AD32" s="53"/>
      <c r="AE32" s="54"/>
      <c r="AF32" s="30" t="s">
        <v>28</v>
      </c>
      <c r="AG32" s="193"/>
      <c r="AH32" s="193"/>
      <c r="AI32" s="193"/>
      <c r="AJ32" s="193"/>
      <c r="AK32" s="193"/>
      <c r="AL32" s="60"/>
      <c r="AM32" s="55"/>
      <c r="AN32" s="55"/>
      <c r="AO32" s="55"/>
      <c r="AP32" s="34" t="s">
        <v>26</v>
      </c>
      <c r="AQ32" s="69">
        <v>557</v>
      </c>
      <c r="AR32" s="69">
        <v>864</v>
      </c>
      <c r="AS32" s="69">
        <v>167</v>
      </c>
      <c r="AT32" s="69">
        <v>10</v>
      </c>
      <c r="AU32" s="69">
        <v>32</v>
      </c>
      <c r="AV32" s="336">
        <f>SUM(AQ32:AU32)</f>
        <v>1630</v>
      </c>
      <c r="AW32" s="55"/>
      <c r="AX32" s="55"/>
      <c r="AY32" s="55"/>
      <c r="AZ32" s="30" t="s">
        <v>27</v>
      </c>
      <c r="BA32" s="128">
        <v>575</v>
      </c>
      <c r="BB32" s="128">
        <v>905</v>
      </c>
      <c r="BC32" s="128">
        <v>194</v>
      </c>
      <c r="BD32" s="128">
        <v>9</v>
      </c>
      <c r="BE32" s="128">
        <v>16</v>
      </c>
      <c r="BF32" s="128">
        <f t="shared" si="3"/>
        <v>1699</v>
      </c>
      <c r="BG32" s="118"/>
      <c r="BH32" s="118"/>
      <c r="BI32" s="119"/>
    </row>
    <row r="33" spans="1:61" ht="12.75" customHeight="1" x14ac:dyDescent="0.2">
      <c r="A33" s="28">
        <v>23</v>
      </c>
      <c r="B33" s="29" t="s">
        <v>26</v>
      </c>
      <c r="C33" s="61">
        <v>630</v>
      </c>
      <c r="D33" s="61">
        <v>1005</v>
      </c>
      <c r="E33" s="61">
        <v>170</v>
      </c>
      <c r="F33" s="61">
        <v>9</v>
      </c>
      <c r="G33" s="61">
        <v>0</v>
      </c>
      <c r="H33" s="61">
        <f>SUM(C33:G33)</f>
        <v>1814</v>
      </c>
      <c r="I33" s="53"/>
      <c r="J33" s="53"/>
      <c r="K33" s="54"/>
      <c r="L33" s="30" t="s">
        <v>27</v>
      </c>
      <c r="M33" s="81">
        <v>487</v>
      </c>
      <c r="N33" s="81">
        <v>728</v>
      </c>
      <c r="O33" s="81">
        <v>142</v>
      </c>
      <c r="P33" s="81">
        <v>12</v>
      </c>
      <c r="Q33" s="81">
        <v>0</v>
      </c>
      <c r="R33" s="57">
        <f t="shared" si="1"/>
        <v>1369</v>
      </c>
      <c r="S33" s="157"/>
      <c r="T33"/>
      <c r="U33"/>
      <c r="V33" s="30" t="s">
        <v>27</v>
      </c>
      <c r="W33" s="81">
        <v>252</v>
      </c>
      <c r="X33" s="81">
        <v>408</v>
      </c>
      <c r="Y33" s="81">
        <v>102</v>
      </c>
      <c r="Z33" s="81">
        <v>1</v>
      </c>
      <c r="AA33" s="81">
        <v>13</v>
      </c>
      <c r="AB33" s="57">
        <f t="shared" si="2"/>
        <v>776</v>
      </c>
      <c r="AC33" s="53"/>
      <c r="AD33" s="53"/>
      <c r="AE33" s="54"/>
      <c r="AF33" s="30" t="s">
        <v>31</v>
      </c>
      <c r="AG33" s="193"/>
      <c r="AH33" s="193"/>
      <c r="AI33" s="193"/>
      <c r="AJ33" s="193"/>
      <c r="AK33" s="193"/>
      <c r="AL33" s="60"/>
      <c r="AM33" s="64"/>
      <c r="AN33" s="64"/>
      <c r="AO33" s="64"/>
      <c r="AP33" s="34" t="s">
        <v>30</v>
      </c>
      <c r="AQ33" s="113">
        <v>702</v>
      </c>
      <c r="AR33" s="113">
        <v>1050</v>
      </c>
      <c r="AS33" s="113">
        <v>186</v>
      </c>
      <c r="AT33" s="113">
        <v>11</v>
      </c>
      <c r="AU33" s="113">
        <v>36</v>
      </c>
      <c r="AV33" s="337">
        <f>SUM(AQ33:AU33)</f>
        <v>1985</v>
      </c>
      <c r="AW33" s="55"/>
      <c r="AX33" s="55"/>
      <c r="AY33" s="55"/>
      <c r="AZ33" s="30" t="s">
        <v>24</v>
      </c>
      <c r="BA33" s="128">
        <v>648</v>
      </c>
      <c r="BB33" s="314">
        <v>0</v>
      </c>
      <c r="BC33" s="128">
        <v>144</v>
      </c>
      <c r="BD33" s="128">
        <v>0</v>
      </c>
      <c r="BE33" s="128">
        <v>12</v>
      </c>
      <c r="BF33" s="128">
        <f t="shared" si="3"/>
        <v>804</v>
      </c>
      <c r="BG33" s="118"/>
      <c r="BH33" s="118"/>
      <c r="BI33" s="119"/>
    </row>
    <row r="34" spans="1:61" ht="12.75" customHeight="1" x14ac:dyDescent="0.2">
      <c r="A34" s="28">
        <v>24</v>
      </c>
      <c r="B34" s="29" t="s">
        <v>30</v>
      </c>
      <c r="C34" s="77">
        <v>785</v>
      </c>
      <c r="D34" s="77">
        <v>1113</v>
      </c>
      <c r="E34" s="77">
        <v>206</v>
      </c>
      <c r="F34" s="77">
        <v>14</v>
      </c>
      <c r="G34" s="77">
        <v>6</v>
      </c>
      <c r="H34" s="77">
        <f>SUM(C34:G34)</f>
        <v>2124</v>
      </c>
      <c r="I34" s="53"/>
      <c r="J34" s="53"/>
      <c r="K34" s="54"/>
      <c r="L34" s="30" t="s">
        <v>24</v>
      </c>
      <c r="M34" s="81">
        <v>270</v>
      </c>
      <c r="N34" s="81">
        <v>378</v>
      </c>
      <c r="O34" s="81">
        <v>122</v>
      </c>
      <c r="P34" s="81">
        <v>7</v>
      </c>
      <c r="Q34" s="81">
        <v>10</v>
      </c>
      <c r="R34" s="57">
        <f t="shared" si="1"/>
        <v>787</v>
      </c>
      <c r="S34"/>
      <c r="T34"/>
      <c r="U34"/>
      <c r="V34" s="30" t="s">
        <v>24</v>
      </c>
      <c r="W34" s="81">
        <v>341</v>
      </c>
      <c r="X34" s="81">
        <v>582</v>
      </c>
      <c r="Y34" s="81">
        <v>132</v>
      </c>
      <c r="Z34" s="81">
        <v>0</v>
      </c>
      <c r="AA34" s="81">
        <v>0</v>
      </c>
      <c r="AB34" s="57">
        <f t="shared" si="2"/>
        <v>1055</v>
      </c>
      <c r="AC34" s="53"/>
      <c r="AD34" s="53"/>
      <c r="AE34" s="54"/>
      <c r="AF34" s="30" t="s">
        <v>26</v>
      </c>
      <c r="AG34" s="196">
        <v>514</v>
      </c>
      <c r="AH34" s="196">
        <v>844</v>
      </c>
      <c r="AI34" s="196">
        <v>174</v>
      </c>
      <c r="AJ34" s="196">
        <v>10</v>
      </c>
      <c r="AK34" s="196">
        <v>20</v>
      </c>
      <c r="AL34" s="204">
        <f>SUM(AG34:AK34)</f>
        <v>1562</v>
      </c>
      <c r="AM34" s="64"/>
      <c r="AN34" s="64"/>
      <c r="AO34" s="64"/>
      <c r="AP34" s="34" t="s">
        <v>32</v>
      </c>
      <c r="AQ34" s="338">
        <v>524</v>
      </c>
      <c r="AR34" s="338">
        <v>836</v>
      </c>
      <c r="AS34" s="338">
        <v>162</v>
      </c>
      <c r="AT34" s="338">
        <v>2</v>
      </c>
      <c r="AU34" s="339">
        <f>13+3+24</f>
        <v>40</v>
      </c>
      <c r="AV34" s="337">
        <f>SUM(AQ34:AU34)</f>
        <v>1564</v>
      </c>
      <c r="AW34" s="55"/>
      <c r="AX34" s="55"/>
      <c r="AY34" s="55"/>
      <c r="AZ34" s="30" t="s">
        <v>28</v>
      </c>
      <c r="BA34" s="129"/>
      <c r="BB34" s="129"/>
      <c r="BC34" s="129"/>
      <c r="BD34" s="129"/>
      <c r="BE34" s="129"/>
      <c r="BF34" s="129"/>
      <c r="BG34" s="118"/>
      <c r="BH34" s="118"/>
      <c r="BI34" s="119"/>
    </row>
    <row r="35" spans="1:61" ht="12.75" customHeight="1" x14ac:dyDescent="0.2">
      <c r="A35" s="28">
        <v>25</v>
      </c>
      <c r="B35" s="29" t="s">
        <v>32</v>
      </c>
      <c r="C35" s="77">
        <v>580</v>
      </c>
      <c r="D35" s="77">
        <v>851</v>
      </c>
      <c r="E35" s="77">
        <v>172</v>
      </c>
      <c r="F35" s="77">
        <f>11+3</f>
        <v>14</v>
      </c>
      <c r="G35" s="77">
        <v>8</v>
      </c>
      <c r="H35" s="77">
        <f>SUM(C35:G35)</f>
        <v>1625</v>
      </c>
      <c r="I35" s="53"/>
      <c r="J35" s="53"/>
      <c r="K35" s="54"/>
      <c r="L35" s="30" t="s">
        <v>28</v>
      </c>
      <c r="M35" s="84"/>
      <c r="N35" s="84"/>
      <c r="O35" s="84"/>
      <c r="P35" s="84"/>
      <c r="Q35" s="84"/>
      <c r="R35" s="328">
        <f t="shared" si="1"/>
        <v>0</v>
      </c>
      <c r="S35"/>
      <c r="T35"/>
      <c r="U35"/>
      <c r="V35" s="30" t="s">
        <v>28</v>
      </c>
      <c r="W35" s="88"/>
      <c r="X35" s="60"/>
      <c r="Y35" s="60"/>
      <c r="Z35" s="60"/>
      <c r="AA35" s="60"/>
      <c r="AB35" s="88"/>
      <c r="AC35" s="53"/>
      <c r="AD35" s="53"/>
      <c r="AE35" s="54"/>
      <c r="AF35" s="30" t="s">
        <v>30</v>
      </c>
      <c r="AG35" s="196">
        <v>649</v>
      </c>
      <c r="AH35" s="83">
        <v>991</v>
      </c>
      <c r="AI35" s="83">
        <v>173</v>
      </c>
      <c r="AJ35" s="83">
        <v>13</v>
      </c>
      <c r="AK35" s="83">
        <v>0</v>
      </c>
      <c r="AL35" s="204">
        <f>SUM(AG35:AK35)</f>
        <v>1826</v>
      </c>
      <c r="AM35" s="64"/>
      <c r="AN35" s="64"/>
      <c r="AO35" s="64"/>
      <c r="AP35" s="35" t="s">
        <v>27</v>
      </c>
      <c r="AQ35" s="338">
        <v>582</v>
      </c>
      <c r="AR35" s="338">
        <v>953</v>
      </c>
      <c r="AS35" s="237">
        <v>161</v>
      </c>
      <c r="AT35" s="339">
        <v>10</v>
      </c>
      <c r="AU35" s="339">
        <v>24</v>
      </c>
      <c r="AV35" s="337">
        <f>SUM(AQ35:AU35)</f>
        <v>1730</v>
      </c>
      <c r="AW35" s="110"/>
      <c r="AX35" s="110"/>
      <c r="AY35" s="111"/>
      <c r="AZ35" s="30" t="s">
        <v>31</v>
      </c>
      <c r="BA35" s="120"/>
      <c r="BB35" s="120"/>
      <c r="BC35" s="120"/>
      <c r="BD35" s="120"/>
      <c r="BE35" s="120"/>
      <c r="BF35" s="120"/>
      <c r="BG35" s="118"/>
      <c r="BH35" s="118"/>
      <c r="BI35" s="119"/>
    </row>
    <row r="36" spans="1:61" ht="12.75" customHeight="1" x14ac:dyDescent="0.2">
      <c r="A36" s="28">
        <v>26</v>
      </c>
      <c r="B36" s="29" t="s">
        <v>27</v>
      </c>
      <c r="C36" s="77">
        <v>651</v>
      </c>
      <c r="D36" s="77">
        <v>924</v>
      </c>
      <c r="E36" s="77">
        <v>161</v>
      </c>
      <c r="F36" s="77">
        <f>15+3</f>
        <v>18</v>
      </c>
      <c r="G36" s="77">
        <f>42+28</f>
        <v>70</v>
      </c>
      <c r="H36" s="77">
        <f>SUM(C36:G36)</f>
        <v>1824</v>
      </c>
      <c r="I36" s="53"/>
      <c r="J36" s="53"/>
      <c r="K36" s="54"/>
      <c r="L36" s="30" t="s">
        <v>31</v>
      </c>
      <c r="M36" s="60"/>
      <c r="N36" s="60"/>
      <c r="O36" s="60"/>
      <c r="P36" s="60"/>
      <c r="Q36" s="60"/>
      <c r="R36" s="88"/>
      <c r="S36"/>
      <c r="T36"/>
      <c r="U36"/>
      <c r="V36" s="30" t="s">
        <v>31</v>
      </c>
      <c r="W36" s="88"/>
      <c r="X36" s="60"/>
      <c r="Y36" s="60"/>
      <c r="Z36" s="60"/>
      <c r="AA36" s="60"/>
      <c r="AB36" s="88"/>
      <c r="AC36" s="53"/>
      <c r="AD36" s="53"/>
      <c r="AE36" s="54"/>
      <c r="AF36" s="30" t="s">
        <v>32</v>
      </c>
      <c r="AG36" s="196">
        <v>550</v>
      </c>
      <c r="AH36" s="196">
        <v>784</v>
      </c>
      <c r="AI36" s="196">
        <v>181</v>
      </c>
      <c r="AJ36" s="196">
        <v>8</v>
      </c>
      <c r="AK36" s="196">
        <v>0</v>
      </c>
      <c r="AL36" s="204">
        <f>SUM(AG36:AK36)</f>
        <v>1523</v>
      </c>
      <c r="AM36" s="64"/>
      <c r="AN36" s="64"/>
      <c r="AO36" s="64"/>
      <c r="AP36" s="34" t="s">
        <v>24</v>
      </c>
      <c r="AQ36" s="340">
        <v>650</v>
      </c>
      <c r="AR36" s="341">
        <v>0</v>
      </c>
      <c r="AS36" s="342">
        <v>117</v>
      </c>
      <c r="AT36" s="340">
        <v>1</v>
      </c>
      <c r="AU36" s="343">
        <v>15</v>
      </c>
      <c r="AV36" s="337">
        <f>SUM(AQ36:AU36)</f>
        <v>783</v>
      </c>
      <c r="AW36" s="322"/>
      <c r="AX36" s="322"/>
      <c r="AY36" s="103"/>
      <c r="AZ36" s="30" t="s">
        <v>26</v>
      </c>
      <c r="BA36" s="215">
        <v>995</v>
      </c>
      <c r="BB36" s="344">
        <v>0</v>
      </c>
      <c r="BC36" s="215">
        <v>168</v>
      </c>
      <c r="BD36" s="215">
        <v>2</v>
      </c>
      <c r="BE36" s="215">
        <v>1</v>
      </c>
      <c r="BF36" s="128">
        <f>SUM(BA36:BE36)</f>
        <v>1166</v>
      </c>
      <c r="BG36" s="118"/>
      <c r="BH36" s="118"/>
      <c r="BI36" s="119"/>
    </row>
    <row r="37" spans="1:61" ht="12.75" customHeight="1" x14ac:dyDescent="0.2">
      <c r="A37" s="28">
        <v>27</v>
      </c>
      <c r="B37" s="29" t="s">
        <v>24</v>
      </c>
      <c r="C37" s="77">
        <v>432</v>
      </c>
      <c r="D37" s="77">
        <v>510</v>
      </c>
      <c r="E37" s="77">
        <v>144</v>
      </c>
      <c r="F37" s="77">
        <f>8+1</f>
        <v>9</v>
      </c>
      <c r="G37" s="77">
        <f>24+4</f>
        <v>28</v>
      </c>
      <c r="H37" s="77">
        <f>SUM(C37:G37)</f>
        <v>1123</v>
      </c>
      <c r="I37" s="53"/>
      <c r="J37" s="53"/>
      <c r="K37" s="54"/>
      <c r="L37" s="30" t="s">
        <v>26</v>
      </c>
      <c r="M37" s="61">
        <v>440</v>
      </c>
      <c r="N37" s="61">
        <v>740</v>
      </c>
      <c r="O37" s="61">
        <v>157</v>
      </c>
      <c r="P37" s="61">
        <v>0</v>
      </c>
      <c r="Q37" s="61">
        <v>19</v>
      </c>
      <c r="R37" s="330">
        <f>SUM(M37:Q37)</f>
        <v>1356</v>
      </c>
      <c r="S37" s="87"/>
      <c r="T37" s="87"/>
      <c r="U37" s="87"/>
      <c r="V37" s="30" t="s">
        <v>26</v>
      </c>
      <c r="W37" s="187">
        <v>563</v>
      </c>
      <c r="X37" s="187">
        <v>932</v>
      </c>
      <c r="Y37" s="187">
        <v>167</v>
      </c>
      <c r="Z37" s="81">
        <f>3</f>
        <v>3</v>
      </c>
      <c r="AA37" s="81">
        <f>18</f>
        <v>18</v>
      </c>
      <c r="AB37" s="57">
        <f t="shared" si="2"/>
        <v>1683</v>
      </c>
      <c r="AC37" s="53"/>
      <c r="AD37" s="53"/>
      <c r="AE37" s="54"/>
      <c r="AF37" s="30" t="s">
        <v>27</v>
      </c>
      <c r="AG37" s="196">
        <v>546</v>
      </c>
      <c r="AH37" s="196">
        <v>793</v>
      </c>
      <c r="AI37" s="196">
        <v>159</v>
      </c>
      <c r="AJ37" s="196">
        <v>10</v>
      </c>
      <c r="AK37" s="196">
        <v>4</v>
      </c>
      <c r="AL37" s="204">
        <f>SUM(AG37:AK37)</f>
        <v>1512</v>
      </c>
      <c r="AM37" s="64"/>
      <c r="AN37" s="64"/>
      <c r="AO37" s="64"/>
      <c r="AP37" s="34" t="s">
        <v>28</v>
      </c>
      <c r="AQ37" s="109"/>
      <c r="AR37" s="109"/>
      <c r="AS37" s="109"/>
      <c r="AT37" s="109"/>
      <c r="AU37" s="109"/>
      <c r="AV37" s="208"/>
      <c r="AW37" s="104"/>
      <c r="AX37" s="104"/>
      <c r="AY37" s="104"/>
      <c r="AZ37" s="30" t="s">
        <v>30</v>
      </c>
      <c r="BA37" s="123">
        <v>1184</v>
      </c>
      <c r="BB37" s="345">
        <v>0</v>
      </c>
      <c r="BC37" s="123">
        <v>173</v>
      </c>
      <c r="BD37" s="123">
        <f>4</f>
        <v>4</v>
      </c>
      <c r="BE37" s="123">
        <v>61</v>
      </c>
      <c r="BF37" s="128">
        <f>SUM(BA37:BE37)</f>
        <v>1422</v>
      </c>
      <c r="BG37" s="118"/>
      <c r="BH37" s="118"/>
      <c r="BI37" s="119"/>
    </row>
    <row r="38" spans="1:61" ht="12.75" customHeight="1" x14ac:dyDescent="0.2">
      <c r="A38" s="28">
        <v>28</v>
      </c>
      <c r="B38" s="29" t="s">
        <v>28</v>
      </c>
      <c r="C38" s="78"/>
      <c r="D38" s="78"/>
      <c r="E38" s="78"/>
      <c r="F38" s="78"/>
      <c r="G38" s="78"/>
      <c r="H38" s="78"/>
      <c r="I38" s="53"/>
      <c r="J38" s="53"/>
      <c r="K38" s="54"/>
      <c r="L38" s="30" t="s">
        <v>30</v>
      </c>
      <c r="M38" s="65">
        <v>572</v>
      </c>
      <c r="N38" s="65">
        <v>852</v>
      </c>
      <c r="O38" s="65">
        <v>160</v>
      </c>
      <c r="P38" s="65">
        <v>0</v>
      </c>
      <c r="Q38" s="65">
        <v>7</v>
      </c>
      <c r="R38" s="57">
        <f t="shared" si="1"/>
        <v>1591</v>
      </c>
      <c r="S38" s="87"/>
      <c r="T38" s="87"/>
      <c r="U38" s="87"/>
      <c r="V38" s="36" t="s">
        <v>30</v>
      </c>
      <c r="W38" s="188">
        <v>389</v>
      </c>
      <c r="X38" s="189">
        <v>601</v>
      </c>
      <c r="Y38" s="188">
        <v>123</v>
      </c>
      <c r="Z38" s="73">
        <v>0</v>
      </c>
      <c r="AA38" s="73">
        <v>12</v>
      </c>
      <c r="AB38" s="57">
        <f t="shared" si="2"/>
        <v>1125</v>
      </c>
      <c r="AC38" s="89"/>
      <c r="AD38" s="89"/>
      <c r="AE38" s="89"/>
      <c r="AF38" s="30" t="s">
        <v>24</v>
      </c>
      <c r="AG38" s="196">
        <v>566</v>
      </c>
      <c r="AH38" s="331">
        <v>0</v>
      </c>
      <c r="AI38" s="196">
        <v>111</v>
      </c>
      <c r="AJ38" s="196">
        <v>0</v>
      </c>
      <c r="AK38" s="196">
        <v>0</v>
      </c>
      <c r="AL38" s="204">
        <f>SUM(AG38:AK38)</f>
        <v>677</v>
      </c>
      <c r="AM38" s="64"/>
      <c r="AN38" s="64"/>
      <c r="AO38" s="64"/>
      <c r="AP38" s="34" t="s">
        <v>31</v>
      </c>
      <c r="AQ38" s="56"/>
      <c r="AR38" s="56"/>
      <c r="AS38" s="56"/>
      <c r="AT38" s="56"/>
      <c r="AU38" s="56"/>
      <c r="AV38" s="56"/>
      <c r="AW38" s="104"/>
      <c r="AX38" s="104"/>
      <c r="AY38" s="104"/>
      <c r="AZ38" s="30" t="s">
        <v>32</v>
      </c>
      <c r="BA38" s="128">
        <v>1075</v>
      </c>
      <c r="BB38" s="344">
        <v>0</v>
      </c>
      <c r="BC38" s="128">
        <v>166</v>
      </c>
      <c r="BD38" s="128">
        <v>5</v>
      </c>
      <c r="BE38" s="128">
        <v>50</v>
      </c>
      <c r="BF38" s="128">
        <f t="shared" ref="BF38:BF40" si="4">SUM(BA38:BE38)</f>
        <v>1296</v>
      </c>
      <c r="BG38" s="118"/>
      <c r="BH38" s="118"/>
      <c r="BI38" s="119"/>
    </row>
    <row r="39" spans="1:61" ht="12.75" customHeight="1" x14ac:dyDescent="0.2">
      <c r="A39" s="28">
        <v>29</v>
      </c>
      <c r="B39" s="29" t="s">
        <v>31</v>
      </c>
      <c r="C39" s="72"/>
      <c r="D39" s="72"/>
      <c r="E39" s="72"/>
      <c r="F39" s="72"/>
      <c r="G39" s="72"/>
      <c r="H39" s="72"/>
      <c r="I39" s="53"/>
      <c r="J39" s="53"/>
      <c r="K39" s="54"/>
      <c r="L39" s="30"/>
      <c r="M39" s="81"/>
      <c r="N39" s="81"/>
      <c r="O39" s="81"/>
      <c r="P39" s="81"/>
      <c r="Q39" s="81"/>
      <c r="R39" s="81"/>
      <c r="S39" s="53"/>
      <c r="T39" s="53"/>
      <c r="U39" s="54"/>
      <c r="V39" s="30" t="s">
        <v>32</v>
      </c>
      <c r="W39" s="189">
        <v>553</v>
      </c>
      <c r="X39" s="187">
        <v>840</v>
      </c>
      <c r="Y39" s="346">
        <v>159</v>
      </c>
      <c r="Z39" s="185">
        <v>5</v>
      </c>
      <c r="AA39" s="185">
        <v>0</v>
      </c>
      <c r="AB39" s="57">
        <f t="shared" si="2"/>
        <v>1557</v>
      </c>
      <c r="AC39" s="53"/>
      <c r="AD39" s="53"/>
      <c r="AE39" s="54"/>
      <c r="AF39" s="30" t="s">
        <v>28</v>
      </c>
      <c r="AG39" s="193"/>
      <c r="AH39" s="97"/>
      <c r="AI39" s="97"/>
      <c r="AJ39" s="193"/>
      <c r="AK39" s="193"/>
      <c r="AL39" s="60"/>
      <c r="AM39" s="64"/>
      <c r="AN39" s="64"/>
      <c r="AO39" s="64"/>
      <c r="AP39" s="34" t="s">
        <v>26</v>
      </c>
      <c r="AQ39" s="127" t="s">
        <v>55</v>
      </c>
      <c r="AR39" s="127"/>
      <c r="AS39" s="127"/>
      <c r="AT39" s="127"/>
      <c r="AU39" s="127"/>
      <c r="AV39" s="99"/>
      <c r="AW39" s="104"/>
      <c r="AX39" s="104"/>
      <c r="AY39" s="104"/>
      <c r="AZ39" s="30" t="s">
        <v>27</v>
      </c>
      <c r="BA39" s="128">
        <v>1159</v>
      </c>
      <c r="BB39" s="344">
        <v>0</v>
      </c>
      <c r="BC39" s="128">
        <v>177</v>
      </c>
      <c r="BD39" s="128">
        <v>3</v>
      </c>
      <c r="BE39" s="128">
        <v>62</v>
      </c>
      <c r="BF39" s="128">
        <f t="shared" si="4"/>
        <v>1401</v>
      </c>
      <c r="BG39" s="118"/>
      <c r="BH39" s="118"/>
      <c r="BI39" s="119"/>
    </row>
    <row r="40" spans="1:61" ht="12.75" customHeight="1" x14ac:dyDescent="0.2">
      <c r="A40" s="28">
        <v>30</v>
      </c>
      <c r="B40" s="29" t="s">
        <v>26</v>
      </c>
      <c r="C40" s="61">
        <v>663</v>
      </c>
      <c r="D40" s="61">
        <v>923</v>
      </c>
      <c r="E40" s="61">
        <v>198</v>
      </c>
      <c r="F40" s="61">
        <f>10+2</f>
        <v>12</v>
      </c>
      <c r="G40" s="61">
        <v>43</v>
      </c>
      <c r="H40" s="61">
        <f>SUM(C40:G40)</f>
        <v>1839</v>
      </c>
      <c r="I40" s="53"/>
      <c r="J40" s="53"/>
      <c r="K40" s="54"/>
      <c r="L40" s="38"/>
      <c r="M40" s="81"/>
      <c r="N40" s="81"/>
      <c r="O40" s="81"/>
      <c r="P40" s="81"/>
      <c r="Q40" s="81"/>
      <c r="R40" s="81"/>
      <c r="S40" s="53"/>
      <c r="T40" s="53"/>
      <c r="U40" s="54"/>
      <c r="V40" s="30" t="s">
        <v>27</v>
      </c>
      <c r="W40" s="347">
        <v>583</v>
      </c>
      <c r="X40" s="81">
        <v>932</v>
      </c>
      <c r="Y40" s="348">
        <v>177</v>
      </c>
      <c r="Z40" s="185">
        <v>14</v>
      </c>
      <c r="AA40" s="185">
        <v>18</v>
      </c>
      <c r="AB40" s="349">
        <f t="shared" si="2"/>
        <v>1724</v>
      </c>
      <c r="AC40" s="53"/>
      <c r="AD40" s="53"/>
      <c r="AE40" s="54"/>
      <c r="AF40" s="30" t="s">
        <v>31</v>
      </c>
      <c r="AG40" s="193"/>
      <c r="AH40" s="97"/>
      <c r="AI40" s="97"/>
      <c r="AJ40" s="193"/>
      <c r="AK40" s="193"/>
      <c r="AL40" s="60"/>
      <c r="AM40" s="100"/>
      <c r="AN40" s="101"/>
      <c r="AO40" s="101"/>
      <c r="AP40" s="34" t="s">
        <v>30</v>
      </c>
      <c r="AQ40" s="65">
        <v>640</v>
      </c>
      <c r="AR40" s="65">
        <v>1036</v>
      </c>
      <c r="AS40" s="65">
        <v>182</v>
      </c>
      <c r="AT40" s="65">
        <v>11</v>
      </c>
      <c r="AU40" s="65">
        <v>26</v>
      </c>
      <c r="AV40" s="113">
        <f t="shared" ref="AV40:AV41" si="5">SUM(AQ40:AU40)</f>
        <v>1895</v>
      </c>
      <c r="AW40" s="107"/>
      <c r="AX40" s="107"/>
      <c r="AY40" s="106"/>
      <c r="AZ40" s="30" t="s">
        <v>24</v>
      </c>
      <c r="BA40" s="128">
        <v>611</v>
      </c>
      <c r="BB40" s="344">
        <v>0</v>
      </c>
      <c r="BC40" s="128">
        <v>136</v>
      </c>
      <c r="BD40" s="128">
        <v>0</v>
      </c>
      <c r="BE40" s="128">
        <v>9</v>
      </c>
      <c r="BF40" s="128">
        <f t="shared" si="4"/>
        <v>756</v>
      </c>
      <c r="BG40" s="118"/>
      <c r="BH40" s="118"/>
      <c r="BI40" s="119"/>
    </row>
    <row r="41" spans="1:61" ht="13.5" customHeight="1" x14ac:dyDescent="0.2">
      <c r="A41" s="39">
        <v>31</v>
      </c>
      <c r="B41" s="29" t="s">
        <v>54</v>
      </c>
      <c r="C41" s="74">
        <v>162</v>
      </c>
      <c r="D41" s="65">
        <v>258</v>
      </c>
      <c r="E41" s="74">
        <v>103</v>
      </c>
      <c r="F41" s="79">
        <v>2</v>
      </c>
      <c r="G41" s="79">
        <f>52+17</f>
        <v>69</v>
      </c>
      <c r="H41" s="80">
        <f>SUM(C41:G41)</f>
        <v>594</v>
      </c>
      <c r="I41" s="66"/>
      <c r="J41" s="66"/>
      <c r="K41" s="67"/>
      <c r="L41" s="40"/>
      <c r="M41" s="114"/>
      <c r="N41" s="114"/>
      <c r="O41" s="114"/>
      <c r="P41" s="114"/>
      <c r="Q41" s="114"/>
      <c r="R41" s="81"/>
      <c r="S41" s="66"/>
      <c r="T41" s="66"/>
      <c r="U41" s="67"/>
      <c r="V41" s="30" t="s">
        <v>24</v>
      </c>
      <c r="W41" s="350">
        <v>332</v>
      </c>
      <c r="X41" s="242">
        <v>559</v>
      </c>
      <c r="Y41" s="351">
        <v>134</v>
      </c>
      <c r="Z41" s="352">
        <v>8</v>
      </c>
      <c r="AA41" s="352">
        <f>8+8</f>
        <v>16</v>
      </c>
      <c r="AB41" s="353">
        <f t="shared" si="2"/>
        <v>1049</v>
      </c>
      <c r="AC41" s="93"/>
      <c r="AD41" s="93"/>
      <c r="AE41" s="94"/>
      <c r="AF41" s="40"/>
      <c r="AG41" s="196"/>
      <c r="AH41" s="102"/>
      <c r="AI41" s="102"/>
      <c r="AJ41" s="196"/>
      <c r="AK41" s="196"/>
      <c r="AL41" s="96"/>
      <c r="AM41" s="89"/>
      <c r="AN41" s="89"/>
      <c r="AO41" s="89"/>
      <c r="AP41" s="34" t="s">
        <v>32</v>
      </c>
      <c r="AQ41" s="81">
        <v>584</v>
      </c>
      <c r="AR41" s="81">
        <v>808</v>
      </c>
      <c r="AS41" s="81">
        <v>161</v>
      </c>
      <c r="AT41" s="81">
        <v>13</v>
      </c>
      <c r="AU41" s="81">
        <f>15</f>
        <v>15</v>
      </c>
      <c r="AV41" s="113">
        <f t="shared" si="5"/>
        <v>1581</v>
      </c>
      <c r="AW41" s="115"/>
      <c r="AX41" s="107"/>
      <c r="AY41" s="106"/>
      <c r="AZ41" s="30"/>
      <c r="BA41" s="128"/>
      <c r="BB41" s="128"/>
      <c r="BC41" s="128"/>
      <c r="BD41" s="128"/>
      <c r="BE41" s="128"/>
      <c r="BF41" s="128"/>
      <c r="BG41" s="124"/>
      <c r="BH41" s="124"/>
      <c r="BI41" s="125"/>
    </row>
    <row r="42" spans="1:61" ht="13.5" customHeight="1" x14ac:dyDescent="0.2">
      <c r="A42" s="39"/>
      <c r="B42" s="29"/>
      <c r="C42" s="74"/>
      <c r="D42" s="74"/>
      <c r="E42" s="74"/>
      <c r="F42" s="180"/>
      <c r="G42" s="180"/>
      <c r="H42" s="181"/>
      <c r="I42" s="66"/>
      <c r="J42" s="66"/>
      <c r="K42" s="67"/>
      <c r="L42" s="40"/>
      <c r="M42" s="114"/>
      <c r="N42" s="114"/>
      <c r="O42" s="114"/>
      <c r="P42" s="114"/>
      <c r="Q42" s="114"/>
      <c r="R42" s="81"/>
      <c r="S42" s="66"/>
      <c r="T42" s="66"/>
      <c r="U42" s="67"/>
      <c r="V42" s="30"/>
      <c r="W42" s="92"/>
      <c r="X42" s="57"/>
      <c r="Y42" s="92"/>
      <c r="Z42" s="69"/>
      <c r="AA42" s="69"/>
      <c r="AB42" s="50"/>
      <c r="AC42" s="93"/>
      <c r="AD42" s="93"/>
      <c r="AE42" s="94"/>
      <c r="AF42" s="40"/>
      <c r="AG42" s="197"/>
      <c r="AH42" s="354"/>
      <c r="AI42" s="354"/>
      <c r="AJ42" s="197"/>
      <c r="AK42" s="197"/>
      <c r="AL42" s="96"/>
      <c r="AM42" s="89"/>
      <c r="AN42" s="89"/>
      <c r="AO42" s="89"/>
      <c r="AP42" s="34"/>
      <c r="AQ42" s="182"/>
      <c r="AR42" s="182"/>
      <c r="AS42" s="182"/>
      <c r="AT42" s="182"/>
      <c r="AU42" s="182"/>
      <c r="AV42" s="113"/>
      <c r="AW42" s="115"/>
      <c r="AX42" s="107"/>
      <c r="AY42" s="106"/>
      <c r="AZ42" s="30"/>
      <c r="BA42" s="130"/>
      <c r="BB42" s="130"/>
      <c r="BC42" s="130"/>
      <c r="BD42" s="130"/>
      <c r="BE42" s="130"/>
      <c r="BF42" s="184"/>
      <c r="BG42" s="124"/>
      <c r="BH42" s="124"/>
      <c r="BI42" s="125"/>
    </row>
    <row r="43" spans="1:61" s="22" customFormat="1" ht="14.25" customHeight="1" x14ac:dyDescent="0.2">
      <c r="A43" s="152" t="s">
        <v>34</v>
      </c>
      <c r="B43"/>
      <c r="C43" s="68">
        <f>SUM(C11:C41)</f>
        <v>11559</v>
      </c>
      <c r="D43" s="68">
        <f>SUM(D11:D41)</f>
        <v>17183</v>
      </c>
      <c r="E43" s="68">
        <f>SUM(E11:E41)</f>
        <v>3419</v>
      </c>
      <c r="F43" s="68">
        <f>SUM(F11:F41)</f>
        <v>235</v>
      </c>
      <c r="G43" s="68">
        <f>SUM(G11:G41)</f>
        <v>429</v>
      </c>
      <c r="H43" s="212">
        <f>SUM(C43:G43)</f>
        <v>32825</v>
      </c>
      <c r="I43"/>
      <c r="J43"/>
      <c r="K43"/>
      <c r="L43" s="152" t="s">
        <v>34</v>
      </c>
      <c r="M43" s="68">
        <f>SUM(M11:M41)</f>
        <v>10379</v>
      </c>
      <c r="N43" s="68">
        <f>SUM(N11:N41)</f>
        <v>15365</v>
      </c>
      <c r="O43" s="68">
        <f>SUM(O11:O41)</f>
        <v>3099</v>
      </c>
      <c r="P43" s="68">
        <f>SUM(P11:P41)</f>
        <v>202</v>
      </c>
      <c r="Q43" s="68">
        <f>SUM(Q11:Q41)</f>
        <v>434</v>
      </c>
      <c r="R43" s="210">
        <f>SUM(M43:Q43)</f>
        <v>29479</v>
      </c>
      <c r="S43" s="69"/>
      <c r="T43" s="69"/>
      <c r="U43" s="69"/>
      <c r="V43" s="152" t="s">
        <v>34</v>
      </c>
      <c r="W43" s="69">
        <f>SUM(W11:W41)</f>
        <v>11263</v>
      </c>
      <c r="X43" s="69">
        <f>SUM(X11:X41)</f>
        <v>17713</v>
      </c>
      <c r="Y43" s="69">
        <f>SUM(Y11:Y41)</f>
        <v>3431</v>
      </c>
      <c r="Z43" s="69">
        <f>SUM(Z11:Z41)</f>
        <v>166</v>
      </c>
      <c r="AA43" s="69">
        <f>SUM(AA11:AA41)</f>
        <v>344</v>
      </c>
      <c r="AB43" s="211">
        <f>SUM(W43:AA43)</f>
        <v>32917</v>
      </c>
      <c r="AC43" s="69"/>
      <c r="AD43" s="69"/>
      <c r="AE43" s="69"/>
      <c r="AF43" s="152" t="s">
        <v>34</v>
      </c>
      <c r="AG43" s="203">
        <f>SUM(AG11:AG42)</f>
        <v>10040</v>
      </c>
      <c r="AH43" s="198">
        <f>SUM(AH11:AH41)</f>
        <v>14739</v>
      </c>
      <c r="AI43" s="198">
        <f>SUM(AI11:AI41)</f>
        <v>3050</v>
      </c>
      <c r="AJ43" s="198">
        <f>SUM(AJ11:AJ41)</f>
        <v>159</v>
      </c>
      <c r="AK43" s="198">
        <f>SUM(AK11:AK41)</f>
        <v>466</v>
      </c>
      <c r="AL43" s="209">
        <f>SUM(AG43:AK43)</f>
        <v>28454</v>
      </c>
      <c r="AM43" s="203"/>
      <c r="AN43" s="203"/>
      <c r="AO43" s="203"/>
      <c r="AP43" s="152" t="s">
        <v>34</v>
      </c>
      <c r="AQ43" s="68">
        <f>SUM(AQ11:AQ41)</f>
        <v>10211</v>
      </c>
      <c r="AR43" s="68">
        <f>SUM(AR11:AR41)</f>
        <v>14242</v>
      </c>
      <c r="AS43" s="68">
        <f>SUM(AS11:AS41)</f>
        <v>2963</v>
      </c>
      <c r="AT43" s="68">
        <f>SUM(AT11:AT41)</f>
        <v>164</v>
      </c>
      <c r="AU43" s="68">
        <f>SUM(AU11:AU41)</f>
        <v>400</v>
      </c>
      <c r="AV43" s="212">
        <f>SUM(AQ43:AU43)</f>
        <v>27980</v>
      </c>
      <c r="AW43" s="69"/>
      <c r="AX43" s="69"/>
      <c r="AY43" s="69"/>
      <c r="AZ43" s="152" t="s">
        <v>34</v>
      </c>
      <c r="BA43" s="203">
        <f>SUM(BA11:BA40)</f>
        <v>14166</v>
      </c>
      <c r="BB43" s="68">
        <f>SUM(BB11:BB41)</f>
        <v>13370</v>
      </c>
      <c r="BC43" s="68">
        <f>SUM(BC11:BC41)</f>
        <v>3699</v>
      </c>
      <c r="BD43" s="68">
        <f>SUM(BD11:BD41)</f>
        <v>109</v>
      </c>
      <c r="BE43" s="68">
        <f>SUM(BE11:BE41)</f>
        <v>634</v>
      </c>
      <c r="BF43" s="210">
        <f>SUM(BA43:BE43)</f>
        <v>31978</v>
      </c>
      <c r="BG43" s="69"/>
      <c r="BH43" s="69"/>
      <c r="BI43" s="69"/>
    </row>
    <row r="44" spans="1:61" s="22" customFormat="1" ht="12.75" customHeight="1" x14ac:dyDescent="0.2">
      <c r="A44" s="152" t="s">
        <v>1</v>
      </c>
      <c r="B44"/>
      <c r="C44" s="69">
        <v>21</v>
      </c>
      <c r="D44"/>
      <c r="E44"/>
      <c r="F44"/>
      <c r="G44"/>
      <c r="H44"/>
      <c r="I44"/>
      <c r="J44"/>
      <c r="K44"/>
      <c r="L44" s="41" t="s">
        <v>57</v>
      </c>
      <c r="M44" s="69">
        <f>ROWS(A11:A38)-8</f>
        <v>20</v>
      </c>
      <c r="N44"/>
      <c r="O44"/>
      <c r="P44"/>
      <c r="Q44"/>
      <c r="R44"/>
      <c r="S44"/>
      <c r="T44"/>
      <c r="U44"/>
      <c r="V44" s="41" t="s">
        <v>1</v>
      </c>
      <c r="W44" s="69">
        <v>23</v>
      </c>
      <c r="X44"/>
      <c r="Y44"/>
      <c r="Z44"/>
      <c r="AA44"/>
      <c r="AB44"/>
      <c r="AC44"/>
      <c r="AD44"/>
      <c r="AE44"/>
      <c r="AF44" s="41" t="s">
        <v>1</v>
      </c>
      <c r="AG44" s="203">
        <v>19</v>
      </c>
      <c r="AH44"/>
      <c r="AI44"/>
      <c r="AJ44"/>
      <c r="AK44"/>
      <c r="AL44"/>
      <c r="AM44"/>
      <c r="AN44"/>
      <c r="AO44"/>
      <c r="AP44" s="41" t="s">
        <v>1</v>
      </c>
      <c r="AQ44" s="69">
        <v>18</v>
      </c>
      <c r="AR44"/>
      <c r="AS44"/>
      <c r="AT44"/>
      <c r="AU44"/>
      <c r="AV44"/>
      <c r="AW44"/>
      <c r="AX44"/>
      <c r="AY44"/>
      <c r="AZ44" s="41" t="s">
        <v>1</v>
      </c>
      <c r="BA44" s="69">
        <v>22</v>
      </c>
      <c r="BB44"/>
      <c r="BC44"/>
      <c r="BD44"/>
      <c r="BE44"/>
      <c r="BF44"/>
      <c r="BG44"/>
      <c r="BH44"/>
      <c r="BI44"/>
    </row>
    <row r="45" spans="1:61" s="22" customFormat="1" ht="12.75" customHeight="1" x14ac:dyDescent="0.2">
      <c r="A45" s="152" t="s">
        <v>3</v>
      </c>
      <c r="B45"/>
      <c r="C45" s="68">
        <f>C43/C44</f>
        <v>550.42857142857144</v>
      </c>
      <c r="D45" s="68">
        <f>D43/C44</f>
        <v>818.23809523809518</v>
      </c>
      <c r="E45" s="68">
        <f>E43/21</f>
        <v>162.8095238095238</v>
      </c>
      <c r="F45" s="68">
        <f>F43/21</f>
        <v>11.19047619047619</v>
      </c>
      <c r="G45" s="68">
        <f>G43/21</f>
        <v>20.428571428571427</v>
      </c>
      <c r="H45" s="212">
        <f>SUM(C45:G45)</f>
        <v>1563.0952380952378</v>
      </c>
      <c r="I45"/>
      <c r="J45"/>
      <c r="K45"/>
      <c r="L45" s="41"/>
      <c r="M45" s="68">
        <f>M43/M44</f>
        <v>518.95000000000005</v>
      </c>
      <c r="N45" s="68">
        <f>N43/M44</f>
        <v>768.25</v>
      </c>
      <c r="O45" s="68">
        <f>O43/20</f>
        <v>154.94999999999999</v>
      </c>
      <c r="P45" s="68">
        <f t="shared" ref="P45:Q45" si="6">P43/20</f>
        <v>10.1</v>
      </c>
      <c r="Q45" s="68">
        <f t="shared" si="6"/>
        <v>21.7</v>
      </c>
      <c r="R45" s="212">
        <f>SUM(M45:Q45)</f>
        <v>1473.95</v>
      </c>
      <c r="S45"/>
      <c r="T45"/>
      <c r="U45"/>
      <c r="V45" s="41"/>
      <c r="W45" s="75">
        <f>W43/$W$44</f>
        <v>489.69565217391306</v>
      </c>
      <c r="X45" s="75">
        <f t="shared" ref="X45:AA45" si="7">X43/$W$44</f>
        <v>770.13043478260875</v>
      </c>
      <c r="Y45" s="75">
        <f t="shared" si="7"/>
        <v>149.17391304347825</v>
      </c>
      <c r="Z45" s="75">
        <f t="shared" si="7"/>
        <v>7.2173913043478262</v>
      </c>
      <c r="AA45" s="75">
        <f t="shared" si="7"/>
        <v>14.956521739130435</v>
      </c>
      <c r="AB45" s="212">
        <f>AB43/W44</f>
        <v>1431.1739130434783</v>
      </c>
      <c r="AC45"/>
      <c r="AD45"/>
      <c r="AE45"/>
      <c r="AF45" s="41"/>
      <c r="AG45" s="198">
        <f>AG43/19</f>
        <v>528.42105263157896</v>
      </c>
      <c r="AH45" s="198">
        <f>AH43/AG44</f>
        <v>775.73684210526312</v>
      </c>
      <c r="AI45" s="198">
        <f>AI43/AG44</f>
        <v>160.52631578947367</v>
      </c>
      <c r="AJ45" s="198">
        <f>AJ43/19</f>
        <v>8.3684210526315788</v>
      </c>
      <c r="AK45" s="198">
        <f>AK43/19</f>
        <v>24.526315789473685</v>
      </c>
      <c r="AL45" s="216">
        <f>SUM(AG45:AK45)</f>
        <v>1497.5789473684213</v>
      </c>
      <c r="AM45" s="217"/>
      <c r="AN45" s="217"/>
      <c r="AO45" s="218"/>
      <c r="AP45" s="41"/>
      <c r="AQ45" s="68">
        <f>AQ43/AQ44</f>
        <v>567.27777777777783</v>
      </c>
      <c r="AR45" s="68">
        <f>AR43/18</f>
        <v>791.22222222222217</v>
      </c>
      <c r="AS45" s="68">
        <f>AS43/18</f>
        <v>164.61111111111111</v>
      </c>
      <c r="AT45" s="68">
        <f>AT43/18</f>
        <v>9.1111111111111107</v>
      </c>
      <c r="AU45" s="68">
        <f>AU43/18</f>
        <v>22.222222222222221</v>
      </c>
      <c r="AV45" s="212">
        <f>SUM(AQ45:AU45)</f>
        <v>1554.4444444444443</v>
      </c>
      <c r="AW45" s="55"/>
      <c r="AX45" s="55"/>
      <c r="AY45" s="55"/>
      <c r="AZ45" s="41"/>
      <c r="BA45" s="68">
        <f>BA43/BA44</f>
        <v>643.90909090909088</v>
      </c>
      <c r="BB45" s="68">
        <f>BB43/BA44</f>
        <v>607.72727272727275</v>
      </c>
      <c r="BC45" s="68">
        <f>BC43/22</f>
        <v>168.13636363636363</v>
      </c>
      <c r="BD45" s="68">
        <f>BD43/22</f>
        <v>4.9545454545454541</v>
      </c>
      <c r="BE45" s="68">
        <f>BE43/22</f>
        <v>28.818181818181817</v>
      </c>
      <c r="BF45" s="212">
        <f>BF43/BA44</f>
        <v>1453.5454545454545</v>
      </c>
      <c r="BG45"/>
      <c r="BH45"/>
      <c r="BI45"/>
    </row>
    <row r="46" spans="1:61" s="22" customFormat="1" ht="12.75" customHeight="1" x14ac:dyDescent="0.2">
      <c r="A46" s="158" t="s">
        <v>35</v>
      </c>
      <c r="B46"/>
      <c r="C46" s="68">
        <f>COUNTIF(C11:C41,"&gt;1350")</f>
        <v>0</v>
      </c>
      <c r="D46" s="68">
        <f>COUNTIF(D11:D41,"&gt;1450")</f>
        <v>0</v>
      </c>
      <c r="E46" s="68"/>
      <c r="F46" s="68"/>
      <c r="G46" s="68"/>
      <c r="H46" s="159"/>
      <c r="I46"/>
      <c r="J46"/>
      <c r="K46"/>
      <c r="L46" s="41"/>
      <c r="M46" s="68">
        <f>COUNTIF(M11:M41,"&gt;1350")</f>
        <v>0</v>
      </c>
      <c r="N46" s="68">
        <f>COUNTIF(N11:N41,"&gt;1450")</f>
        <v>0</v>
      </c>
      <c r="O46" s="68"/>
      <c r="P46" s="68"/>
      <c r="Q46" s="68"/>
      <c r="R46" s="159"/>
      <c r="S46"/>
      <c r="T46"/>
      <c r="U46"/>
      <c r="V46" s="41"/>
      <c r="W46" s="75">
        <f>COUNTIF(W11:W41,"&gt;1350")</f>
        <v>0</v>
      </c>
      <c r="X46" s="68">
        <f>COUNTIF(X11:X41,"&gt;1450")</f>
        <v>0</v>
      </c>
      <c r="Y46" s="68"/>
      <c r="Z46" s="68"/>
      <c r="AA46" s="68"/>
      <c r="AB46" s="160"/>
      <c r="AC46"/>
      <c r="AD46"/>
      <c r="AE46"/>
      <c r="AF46" s="41"/>
      <c r="AG46" s="198">
        <f>COUNTIF(AG11:AG41,"&gt;1350")</f>
        <v>0</v>
      </c>
      <c r="AH46" s="136">
        <f>COUNTIF(AH11:AH41,"&gt;1450")</f>
        <v>0</v>
      </c>
      <c r="AI46" s="136"/>
      <c r="AJ46" s="198"/>
      <c r="AK46" s="198"/>
      <c r="AL46" s="131"/>
      <c r="AM46" s="131"/>
      <c r="AN46" s="131"/>
      <c r="AO46" s="131"/>
      <c r="AP46" s="41"/>
      <c r="AQ46" s="68">
        <f>COUNTIF(AQ11:AQ41,"&gt;1350")</f>
        <v>0</v>
      </c>
      <c r="AR46" s="68">
        <f>COUNTIF(AR11:AR41,"&gt;1450")</f>
        <v>0</v>
      </c>
      <c r="AS46" s="68">
        <f t="shared" ref="AS46:AU46" si="8">COUNTIF(AS11:AS41,"&gt;1450")</f>
        <v>0</v>
      </c>
      <c r="AT46" s="68">
        <f t="shared" si="8"/>
        <v>0</v>
      </c>
      <c r="AU46" s="68">
        <f t="shared" si="8"/>
        <v>0</v>
      </c>
      <c r="AV46" s="131"/>
      <c r="AW46" s="131"/>
      <c r="AX46" s="131"/>
      <c r="AY46" s="131"/>
      <c r="AZ46" s="41"/>
      <c r="BA46" s="68">
        <f>COUNTIF(BA11:BA41,"&gt;1350")</f>
        <v>0</v>
      </c>
      <c r="BB46" s="68">
        <f>COUNTIF(BB11:BB41,"&gt;1450")</f>
        <v>0</v>
      </c>
      <c r="BC46" s="68">
        <f t="shared" ref="BC46:BE46" si="9">COUNTIF(BC11:BC41,"&gt;1450")</f>
        <v>0</v>
      </c>
      <c r="BD46" s="68">
        <f t="shared" si="9"/>
        <v>0</v>
      </c>
      <c r="BE46" s="68">
        <f t="shared" si="9"/>
        <v>0</v>
      </c>
      <c r="BF46" s="159"/>
      <c r="BG46"/>
      <c r="BH46"/>
      <c r="BI46"/>
    </row>
    <row r="47" spans="1:61" s="22" customFormat="1" ht="12.75" customHeight="1" x14ac:dyDescent="0.2">
      <c r="A47" s="161" t="s">
        <v>36</v>
      </c>
      <c r="B47"/>
      <c r="C47" s="68">
        <f>COUNTIF(C11:C41,"&lt;1350")</f>
        <v>21</v>
      </c>
      <c r="D47" s="68">
        <f>COUNTIF(D11:D41,"&lt;1450")</f>
        <v>21</v>
      </c>
      <c r="E47" s="68"/>
      <c r="F47" s="68"/>
      <c r="G47" s="68"/>
      <c r="H47"/>
      <c r="I47"/>
      <c r="J47"/>
      <c r="K47"/>
      <c r="L47" s="41"/>
      <c r="M47" s="68">
        <f>COUNTIF(M11:M41,"&lt;1350")</f>
        <v>20</v>
      </c>
      <c r="N47" s="68">
        <f>COUNTIF(N11:N41,"&lt;1450")</f>
        <v>20</v>
      </c>
      <c r="O47" s="68"/>
      <c r="P47" s="68"/>
      <c r="Q47" s="68"/>
      <c r="R47"/>
      <c r="S47"/>
      <c r="T47"/>
      <c r="U47"/>
      <c r="V47" s="41"/>
      <c r="W47" s="75">
        <f>COUNTIF(W11:W41,"&lt;1350")</f>
        <v>23</v>
      </c>
      <c r="X47" s="68">
        <f>COUNTIF(X11:X41,"&lt;1450")</f>
        <v>23</v>
      </c>
      <c r="Y47" s="68"/>
      <c r="Z47" s="68"/>
      <c r="AA47" s="68"/>
      <c r="AB47"/>
      <c r="AC47"/>
      <c r="AD47"/>
      <c r="AE47"/>
      <c r="AF47" s="41"/>
      <c r="AG47" s="198">
        <f>COUNTIF(AG11:AG41,"&lt;1350")</f>
        <v>19</v>
      </c>
      <c r="AH47" s="136">
        <f>COUNTIF(AH11:AH41,"&lt;1450")</f>
        <v>19</v>
      </c>
      <c r="AI47" s="136">
        <f t="shared" ref="AI47:AK47" si="10">COUNTIF(AI11:AI41,"&lt;1450")</f>
        <v>19</v>
      </c>
      <c r="AJ47" s="198">
        <f t="shared" si="10"/>
        <v>19</v>
      </c>
      <c r="AK47" s="198">
        <f t="shared" si="10"/>
        <v>19</v>
      </c>
      <c r="AL47" s="131"/>
      <c r="AM47" s="131"/>
      <c r="AN47" s="131"/>
      <c r="AO47" s="131"/>
      <c r="AP47" s="41"/>
      <c r="AQ47" s="68">
        <f>COUNTIF(AQ11:AQ41,"&lt;1350")</f>
        <v>18</v>
      </c>
      <c r="AR47" s="68">
        <f>COUNTIF(AR11:AR41,"&lt;1450")</f>
        <v>18</v>
      </c>
      <c r="AS47" s="68">
        <f t="shared" ref="AS47" si="11">COUNTIF(AS11:AS41,"&lt;1350")</f>
        <v>18</v>
      </c>
      <c r="AT47" s="68">
        <f t="shared" ref="AT47" si="12">COUNTIF(AT11:AT41,"&lt;1450")</f>
        <v>18</v>
      </c>
      <c r="AU47" s="68">
        <f t="shared" ref="AU47" si="13">COUNTIF(AU11:AU41,"&lt;1350")</f>
        <v>18</v>
      </c>
      <c r="AV47" s="131"/>
      <c r="AW47" s="131"/>
      <c r="AX47" s="131"/>
      <c r="AY47" s="131"/>
      <c r="AZ47" s="41"/>
      <c r="BA47" s="68">
        <f>COUNTIF(BA11:BA41,"&lt;1350")</f>
        <v>22</v>
      </c>
      <c r="BB47" s="68">
        <f t="shared" ref="BB47:BE47" si="14">COUNTIF(BB11:BB41,"&lt;1350")</f>
        <v>22</v>
      </c>
      <c r="BC47" s="68">
        <f t="shared" si="14"/>
        <v>22</v>
      </c>
      <c r="BD47" s="68">
        <f t="shared" si="14"/>
        <v>22</v>
      </c>
      <c r="BE47" s="68">
        <f t="shared" si="14"/>
        <v>22</v>
      </c>
      <c r="BF47"/>
      <c r="BG47"/>
      <c r="BH47"/>
      <c r="BI47"/>
    </row>
    <row r="48" spans="1:61" ht="15.75" customHeight="1" x14ac:dyDescent="0.15">
      <c r="V48" s="2" t="s">
        <v>50</v>
      </c>
      <c r="AF48" s="20"/>
      <c r="AG48" s="20"/>
    </row>
    <row r="49" spans="1:61" ht="15.75" customHeight="1" x14ac:dyDescent="0.2">
      <c r="A49" s="20"/>
      <c r="L49" s="15"/>
      <c r="M49" s="15" t="s">
        <v>2</v>
      </c>
      <c r="N49" s="15"/>
      <c r="O49" s="15"/>
      <c r="P49" s="15"/>
      <c r="Q49" s="15"/>
      <c r="R49" s="16"/>
      <c r="S49" s="44"/>
      <c r="T49" s="44"/>
      <c r="V49" s="3"/>
      <c r="AC49"/>
      <c r="AD49"/>
      <c r="AE49" s="13"/>
      <c r="AF49" s="20"/>
      <c r="AG49" s="20"/>
      <c r="AP49" s="20"/>
      <c r="AZ49" s="3"/>
    </row>
    <row r="50" spans="1:61" ht="12.75" customHeight="1" x14ac:dyDescent="0.2">
      <c r="S50" s="163"/>
      <c r="T50"/>
      <c r="U50" s="163"/>
      <c r="V50"/>
      <c r="W50"/>
    </row>
    <row r="51" spans="1:61" ht="15.95" customHeight="1" x14ac:dyDescent="0.2">
      <c r="A51" s="148" t="s">
        <v>10</v>
      </c>
      <c r="B51" s="149" t="s">
        <v>17</v>
      </c>
      <c r="C51"/>
      <c r="D51"/>
      <c r="E51"/>
      <c r="F51"/>
      <c r="G51"/>
      <c r="H51"/>
      <c r="I51"/>
      <c r="J51"/>
      <c r="K51"/>
      <c r="L51" s="149" t="s">
        <v>38</v>
      </c>
      <c r="M51"/>
      <c r="N51"/>
      <c r="O51"/>
      <c r="P51"/>
      <c r="Q51"/>
      <c r="R51"/>
      <c r="S51"/>
      <c r="T51"/>
      <c r="U51"/>
      <c r="V51" s="149" t="s">
        <v>39</v>
      </c>
      <c r="W51"/>
      <c r="X51"/>
      <c r="Y51"/>
      <c r="Z51"/>
      <c r="AA51"/>
      <c r="AB51"/>
      <c r="AC51"/>
      <c r="AD51"/>
      <c r="AE51"/>
      <c r="AF51" s="149" t="s">
        <v>40</v>
      </c>
      <c r="AG51"/>
      <c r="AH51"/>
      <c r="AI51"/>
      <c r="AJ51"/>
      <c r="AK51"/>
      <c r="AL51"/>
      <c r="AM51"/>
      <c r="AN51"/>
      <c r="AO51"/>
      <c r="AP51" s="149" t="s">
        <v>41</v>
      </c>
      <c r="AQ51"/>
      <c r="AR51"/>
      <c r="AS51"/>
      <c r="AT51"/>
      <c r="AU51"/>
      <c r="AV51"/>
      <c r="AW51"/>
      <c r="AX51"/>
      <c r="AY51"/>
      <c r="AZ51" s="149" t="s">
        <v>42</v>
      </c>
      <c r="BA51"/>
      <c r="BB51"/>
      <c r="BC51"/>
      <c r="BD51"/>
      <c r="BE51"/>
      <c r="BF51"/>
      <c r="BG51"/>
      <c r="BH51"/>
      <c r="BI51"/>
    </row>
    <row r="52" spans="1:61" ht="13.7" customHeight="1" x14ac:dyDescent="0.2">
      <c r="A52"/>
      <c r="B52" s="150" t="s">
        <v>18</v>
      </c>
      <c r="C52" s="151" t="s">
        <v>19</v>
      </c>
      <c r="D52"/>
      <c r="E52"/>
      <c r="F52"/>
      <c r="G52"/>
      <c r="H52"/>
      <c r="I52"/>
      <c r="J52"/>
      <c r="K52"/>
      <c r="L52" s="150" t="s">
        <v>18</v>
      </c>
      <c r="M52" s="151" t="s">
        <v>19</v>
      </c>
      <c r="N52"/>
      <c r="O52"/>
      <c r="P52"/>
      <c r="Q52"/>
      <c r="R52"/>
      <c r="S52"/>
      <c r="T52"/>
      <c r="U52"/>
      <c r="V52" s="150" t="s">
        <v>18</v>
      </c>
      <c r="W52" s="151" t="s">
        <v>19</v>
      </c>
      <c r="X52"/>
      <c r="Y52"/>
      <c r="Z52"/>
      <c r="AA52"/>
      <c r="AB52"/>
      <c r="AC52"/>
      <c r="AD52"/>
      <c r="AE52"/>
      <c r="AF52" s="150" t="s">
        <v>18</v>
      </c>
      <c r="AG52" s="151" t="s">
        <v>19</v>
      </c>
      <c r="AH52"/>
      <c r="AI52"/>
      <c r="AJ52"/>
      <c r="AK52"/>
      <c r="AL52"/>
      <c r="AM52"/>
      <c r="AN52"/>
      <c r="AO52"/>
      <c r="AP52" s="150" t="s">
        <v>18</v>
      </c>
      <c r="AQ52" s="151" t="s">
        <v>19</v>
      </c>
      <c r="AR52"/>
      <c r="AS52"/>
      <c r="AT52"/>
      <c r="AU52"/>
      <c r="AV52"/>
      <c r="AW52"/>
      <c r="AX52"/>
      <c r="AY52"/>
      <c r="AZ52" s="150" t="s">
        <v>18</v>
      </c>
      <c r="BA52" s="151" t="s">
        <v>19</v>
      </c>
      <c r="BB52"/>
      <c r="BC52"/>
      <c r="BD52"/>
      <c r="BE52"/>
      <c r="BF52"/>
      <c r="BG52"/>
      <c r="BH52"/>
      <c r="BI52"/>
    </row>
    <row r="53" spans="1:61" ht="13.7" customHeight="1" x14ac:dyDescent="0.2">
      <c r="A53"/>
      <c r="B53"/>
      <c r="C53" s="26" t="s">
        <v>20</v>
      </c>
      <c r="D53" s="26" t="s">
        <v>21</v>
      </c>
      <c r="E53" s="26" t="s">
        <v>46</v>
      </c>
      <c r="F53" s="23" t="s">
        <v>52</v>
      </c>
      <c r="G53" s="24" t="s">
        <v>53</v>
      </c>
      <c r="H53" s="23" t="s">
        <v>22</v>
      </c>
      <c r="I53"/>
      <c r="J53"/>
      <c r="K53"/>
      <c r="L53"/>
      <c r="M53" s="26" t="s">
        <v>20</v>
      </c>
      <c r="N53" s="26" t="s">
        <v>21</v>
      </c>
      <c r="O53" s="26" t="s">
        <v>46</v>
      </c>
      <c r="P53" s="23" t="s">
        <v>52</v>
      </c>
      <c r="Q53" s="23" t="s">
        <v>53</v>
      </c>
      <c r="R53" s="23" t="s">
        <v>22</v>
      </c>
      <c r="S53"/>
      <c r="T53"/>
      <c r="U53"/>
      <c r="V53"/>
      <c r="W53" s="25" t="s">
        <v>20</v>
      </c>
      <c r="X53" s="26" t="s">
        <v>21</v>
      </c>
      <c r="Y53" s="26" t="s">
        <v>46</v>
      </c>
      <c r="Z53" s="23" t="s">
        <v>52</v>
      </c>
      <c r="AA53" s="23" t="s">
        <v>53</v>
      </c>
      <c r="AB53" s="23" t="s">
        <v>22</v>
      </c>
      <c r="AC53"/>
      <c r="AD53"/>
      <c r="AE53"/>
      <c r="AF53"/>
      <c r="AG53" s="192" t="s">
        <v>20</v>
      </c>
      <c r="AH53" s="27" t="s">
        <v>21</v>
      </c>
      <c r="AI53" s="27" t="s">
        <v>46</v>
      </c>
      <c r="AJ53" s="201" t="s">
        <v>52</v>
      </c>
      <c r="AK53" s="201" t="s">
        <v>53</v>
      </c>
      <c r="AL53" s="23" t="s">
        <v>22</v>
      </c>
      <c r="AM53"/>
      <c r="AN53"/>
      <c r="AO53"/>
      <c r="AP53"/>
      <c r="AQ53" s="26" t="s">
        <v>20</v>
      </c>
      <c r="AR53" s="26" t="s">
        <v>21</v>
      </c>
      <c r="AS53" s="26" t="s">
        <v>46</v>
      </c>
      <c r="AT53" s="23" t="s">
        <v>52</v>
      </c>
      <c r="AU53" s="23" t="s">
        <v>53</v>
      </c>
      <c r="AV53" s="23" t="s">
        <v>22</v>
      </c>
      <c r="AW53"/>
      <c r="AX53"/>
      <c r="AY53"/>
      <c r="AZ53"/>
      <c r="BA53" s="23" t="s">
        <v>20</v>
      </c>
      <c r="BB53" s="23" t="s">
        <v>21</v>
      </c>
      <c r="BC53" s="23" t="s">
        <v>46</v>
      </c>
      <c r="BD53" s="23" t="s">
        <v>52</v>
      </c>
      <c r="BE53" s="23" t="s">
        <v>53</v>
      </c>
      <c r="BF53" s="23" t="s">
        <v>22</v>
      </c>
      <c r="BG53"/>
      <c r="BH53"/>
      <c r="BI53"/>
    </row>
    <row r="54" spans="1:61" ht="14.65" customHeight="1" x14ac:dyDescent="0.2">
      <c r="A54" s="28" t="s">
        <v>23</v>
      </c>
      <c r="B54" s="30" t="s">
        <v>28</v>
      </c>
      <c r="C54" s="88"/>
      <c r="D54" s="88"/>
      <c r="E54" s="88"/>
      <c r="F54" s="88"/>
      <c r="G54" s="88"/>
      <c r="H54" s="88"/>
      <c r="I54" s="132"/>
      <c r="J54" s="132"/>
      <c r="K54" s="133"/>
      <c r="L54" s="45" t="s">
        <v>30</v>
      </c>
      <c r="M54" s="227">
        <v>0</v>
      </c>
      <c r="N54" s="57">
        <v>1007</v>
      </c>
      <c r="O54" s="170">
        <v>129</v>
      </c>
      <c r="P54" s="170">
        <v>10</v>
      </c>
      <c r="Q54" s="170"/>
      <c r="R54" s="57">
        <f>SUM((M54:Q54))</f>
        <v>1146</v>
      </c>
      <c r="S54" s="171"/>
      <c r="T54"/>
      <c r="U54"/>
      <c r="V54" s="30" t="s">
        <v>24</v>
      </c>
      <c r="W54" s="57">
        <v>753</v>
      </c>
      <c r="X54" s="57">
        <v>0</v>
      </c>
      <c r="Y54" s="57">
        <v>117</v>
      </c>
      <c r="Z54" s="81">
        <v>0</v>
      </c>
      <c r="AA54" s="81">
        <v>0</v>
      </c>
      <c r="AB54" s="57">
        <f>SUM(W54:AA54)</f>
        <v>870</v>
      </c>
      <c r="AC54" s="64"/>
      <c r="AD54" s="64"/>
      <c r="AE54" s="64"/>
      <c r="AF54" s="30" t="s">
        <v>31</v>
      </c>
      <c r="AG54" s="355"/>
      <c r="AH54" s="37"/>
      <c r="AI54" s="37"/>
      <c r="AJ54" s="355"/>
      <c r="AK54" s="355"/>
      <c r="AL54" s="37"/>
      <c r="AM54" s="31"/>
      <c r="AN54" s="31"/>
      <c r="AO54" s="32"/>
      <c r="AP54" s="30" t="s">
        <v>32</v>
      </c>
      <c r="AQ54" s="166" t="s">
        <v>43</v>
      </c>
      <c r="AR54"/>
      <c r="AS54"/>
      <c r="AT54"/>
      <c r="AU54"/>
      <c r="AV54"/>
      <c r="AW54" s="165"/>
      <c r="AX54"/>
      <c r="AY54"/>
      <c r="AZ54" s="30" t="s">
        <v>24</v>
      </c>
      <c r="BA54" s="57">
        <v>0</v>
      </c>
      <c r="BB54" s="57">
        <v>723</v>
      </c>
      <c r="BC54" s="57">
        <v>157</v>
      </c>
      <c r="BD54" s="57">
        <v>7</v>
      </c>
      <c r="BE54" s="57">
        <v>20</v>
      </c>
      <c r="BF54" s="57">
        <f>SUM(BA54:BE54)</f>
        <v>907</v>
      </c>
      <c r="BG54" s="51"/>
      <c r="BH54" s="51"/>
      <c r="BI54" s="52"/>
    </row>
    <row r="55" spans="1:61" ht="14.65" customHeight="1" x14ac:dyDescent="0.2">
      <c r="A55" s="28">
        <v>2</v>
      </c>
      <c r="B55" s="30" t="s">
        <v>31</v>
      </c>
      <c r="C55" s="88"/>
      <c r="D55" s="88"/>
      <c r="E55" s="88"/>
      <c r="F55" s="88"/>
      <c r="G55" s="88"/>
      <c r="H55" s="88"/>
      <c r="I55" s="55"/>
      <c r="J55" s="55"/>
      <c r="K55" s="106"/>
      <c r="L55" s="45" t="s">
        <v>32</v>
      </c>
      <c r="M55" s="69">
        <v>0</v>
      </c>
      <c r="N55" s="57">
        <v>802</v>
      </c>
      <c r="O55" s="57">
        <v>130</v>
      </c>
      <c r="P55" s="57">
        <v>1</v>
      </c>
      <c r="Q55" s="57"/>
      <c r="R55" s="57">
        <f>SUM((M55:Q55))</f>
        <v>933</v>
      </c>
      <c r="S55"/>
      <c r="T55"/>
      <c r="U55"/>
      <c r="V55" s="30" t="s">
        <v>28</v>
      </c>
      <c r="W55" s="58"/>
      <c r="X55" s="58"/>
      <c r="Y55" s="58"/>
      <c r="Z55" s="186"/>
      <c r="AA55" s="186"/>
      <c r="AB55" s="58"/>
      <c r="AC55" s="105"/>
      <c r="AD55" s="105"/>
      <c r="AE55" s="54"/>
      <c r="AF55" s="30" t="s">
        <v>26</v>
      </c>
      <c r="AG55" s="195">
        <v>610</v>
      </c>
      <c r="AH55" s="95">
        <v>923</v>
      </c>
      <c r="AI55" s="95">
        <v>184</v>
      </c>
      <c r="AJ55" s="195">
        <f>2</f>
        <v>2</v>
      </c>
      <c r="AK55" s="195">
        <f>10</f>
        <v>10</v>
      </c>
      <c r="AL55" s="134">
        <f>SUM(AG55:AK55)</f>
        <v>1729</v>
      </c>
      <c r="AM55" s="53"/>
      <c r="AN55" s="53"/>
      <c r="AO55" s="54"/>
      <c r="AP55" s="30" t="s">
        <v>27</v>
      </c>
      <c r="AQ55" s="57">
        <v>311</v>
      </c>
      <c r="AR55" s="57">
        <v>461</v>
      </c>
      <c r="AS55" s="57">
        <v>140</v>
      </c>
      <c r="AT55" s="57">
        <v>4</v>
      </c>
      <c r="AU55" s="57">
        <v>0</v>
      </c>
      <c r="AV55" s="57">
        <f>+SUM(AQ55:AU55)</f>
        <v>916</v>
      </c>
      <c r="AW55" s="110"/>
      <c r="AX55" s="110"/>
      <c r="AY55" s="110"/>
      <c r="AZ55" s="30" t="s">
        <v>28</v>
      </c>
      <c r="BA55" s="58"/>
      <c r="BB55" s="58"/>
      <c r="BC55" s="58"/>
      <c r="BD55" s="58"/>
      <c r="BE55" s="58"/>
      <c r="BF55" s="58"/>
      <c r="BG55" s="53"/>
      <c r="BH55" s="53"/>
      <c r="BI55" s="54"/>
    </row>
    <row r="56" spans="1:61" ht="14.65" customHeight="1" x14ac:dyDescent="0.2">
      <c r="A56" s="28">
        <v>3</v>
      </c>
      <c r="B56" s="30" t="s">
        <v>26</v>
      </c>
      <c r="C56" s="134">
        <v>1209</v>
      </c>
      <c r="D56" s="134">
        <v>0</v>
      </c>
      <c r="E56" s="134">
        <v>163</v>
      </c>
      <c r="F56" s="134">
        <v>0</v>
      </c>
      <c r="G56" s="134">
        <v>0</v>
      </c>
      <c r="H56" s="134">
        <f>SUM(C56:G56)</f>
        <v>1372</v>
      </c>
      <c r="I56" s="55"/>
      <c r="J56" s="55"/>
      <c r="K56" s="54"/>
      <c r="L56" s="45" t="s">
        <v>27</v>
      </c>
      <c r="M56" s="59">
        <v>0</v>
      </c>
      <c r="N56" s="57">
        <v>871</v>
      </c>
      <c r="O56" s="57">
        <v>119</v>
      </c>
      <c r="P56" s="57">
        <v>5</v>
      </c>
      <c r="Q56" s="57"/>
      <c r="R56" s="57">
        <f>SUM((M56:Q56))</f>
        <v>995</v>
      </c>
      <c r="S56"/>
      <c r="T56"/>
      <c r="U56"/>
      <c r="V56" s="30" t="s">
        <v>31</v>
      </c>
      <c r="W56" s="58"/>
      <c r="X56" s="58"/>
      <c r="Y56" s="58"/>
      <c r="Z56" s="186"/>
      <c r="AA56" s="186"/>
      <c r="AB56" s="58"/>
      <c r="AC56" s="53"/>
      <c r="AD56" s="53"/>
      <c r="AE56" s="54"/>
      <c r="AF56" s="30" t="s">
        <v>30</v>
      </c>
      <c r="AG56" s="199">
        <v>757</v>
      </c>
      <c r="AH56" s="174">
        <v>971</v>
      </c>
      <c r="AI56" s="174">
        <v>162</v>
      </c>
      <c r="AJ56" s="199">
        <v>16</v>
      </c>
      <c r="AK56" s="199">
        <f>19+26</f>
        <v>45</v>
      </c>
      <c r="AL56" s="199">
        <f>SUM(AG56:AK56)</f>
        <v>1951</v>
      </c>
      <c r="AM56" s="53"/>
      <c r="AN56" s="53"/>
      <c r="AO56" s="54"/>
      <c r="AP56" s="30" t="s">
        <v>24</v>
      </c>
      <c r="AQ56" s="57">
        <v>0</v>
      </c>
      <c r="AR56" s="57">
        <v>518</v>
      </c>
      <c r="AS56" s="57">
        <v>142</v>
      </c>
      <c r="AT56" s="57">
        <v>5</v>
      </c>
      <c r="AU56" s="57">
        <v>0</v>
      </c>
      <c r="AV56" s="57">
        <f t="shared" ref="AV56" si="15">+SUM(AQ56:AU56)</f>
        <v>665</v>
      </c>
      <c r="AW56" s="110"/>
      <c r="AX56" s="110"/>
      <c r="AY56" s="110"/>
      <c r="AZ56" s="30" t="s">
        <v>31</v>
      </c>
      <c r="BA56" s="58"/>
      <c r="BB56" s="58"/>
      <c r="BC56" s="58"/>
      <c r="BD56" s="58"/>
      <c r="BE56" s="58"/>
      <c r="BF56" s="58"/>
      <c r="BG56" s="53"/>
      <c r="BH56" s="53"/>
      <c r="BI56" s="54"/>
    </row>
    <row r="57" spans="1:61" ht="14.65" customHeight="1" x14ac:dyDescent="0.2">
      <c r="A57" s="28">
        <v>4</v>
      </c>
      <c r="B57" s="30" t="s">
        <v>30</v>
      </c>
      <c r="C57" s="71">
        <v>1263</v>
      </c>
      <c r="D57" s="71">
        <v>0</v>
      </c>
      <c r="E57" s="71">
        <v>160</v>
      </c>
      <c r="F57" s="71">
        <f>2</f>
        <v>2</v>
      </c>
      <c r="G57" s="71">
        <f>12</f>
        <v>12</v>
      </c>
      <c r="H57" s="134">
        <f t="shared" ref="H57:H66" si="16">SUM((C57:G57))</f>
        <v>1437</v>
      </c>
      <c r="I57" s="167"/>
      <c r="J57"/>
      <c r="K57"/>
      <c r="L57" s="45" t="s">
        <v>24</v>
      </c>
      <c r="M57" s="69">
        <v>0</v>
      </c>
      <c r="N57" s="57">
        <v>468</v>
      </c>
      <c r="O57" s="57">
        <v>103</v>
      </c>
      <c r="P57" s="57">
        <v>5</v>
      </c>
      <c r="Q57" s="57"/>
      <c r="R57" s="57">
        <f>SUM((M57:Q57))</f>
        <v>576</v>
      </c>
      <c r="S57"/>
      <c r="T57"/>
      <c r="U57"/>
      <c r="V57" s="30" t="s">
        <v>26</v>
      </c>
      <c r="W57" s="57">
        <v>543</v>
      </c>
      <c r="X57" s="57">
        <v>853</v>
      </c>
      <c r="Y57" s="57">
        <v>190</v>
      </c>
      <c r="Z57" s="81">
        <v>8</v>
      </c>
      <c r="AA57" s="81">
        <v>27</v>
      </c>
      <c r="AB57" s="57">
        <f>SUM(W57:AA57)</f>
        <v>1621</v>
      </c>
      <c r="AC57" s="53"/>
      <c r="AD57" s="53"/>
      <c r="AE57" s="54"/>
      <c r="AF57" s="30" t="s">
        <v>32</v>
      </c>
      <c r="AG57" s="195">
        <v>578</v>
      </c>
      <c r="AH57" s="95">
        <v>764</v>
      </c>
      <c r="AI57" s="95">
        <v>180</v>
      </c>
      <c r="AJ57" s="195">
        <v>12</v>
      </c>
      <c r="AK57" s="195">
        <f>39+14</f>
        <v>53</v>
      </c>
      <c r="AL57" s="71">
        <f t="shared" ref="AL57:AL59" si="17">SUM(AG57:AK57)</f>
        <v>1587</v>
      </c>
      <c r="AM57" s="53"/>
      <c r="AN57" s="53"/>
      <c r="AO57" s="54"/>
      <c r="AP57" s="30" t="s">
        <v>28</v>
      </c>
      <c r="AQ57" s="58"/>
      <c r="AR57" s="58"/>
      <c r="AS57" s="58"/>
      <c r="AT57" s="58"/>
      <c r="AU57" s="58"/>
      <c r="AV57" s="58"/>
      <c r="AW57" s="110"/>
      <c r="AX57" s="110"/>
      <c r="AY57" s="110"/>
      <c r="AZ57" s="30" t="s">
        <v>26</v>
      </c>
      <c r="BA57" s="57">
        <v>583</v>
      </c>
      <c r="BB57" s="57">
        <f>887</f>
        <v>887</v>
      </c>
      <c r="BC57" s="57">
        <v>202</v>
      </c>
      <c r="BD57" s="57">
        <f>6</f>
        <v>6</v>
      </c>
      <c r="BE57" s="57">
        <f>12</f>
        <v>12</v>
      </c>
      <c r="BF57" s="57">
        <f t="shared" ref="BF57:BF75" si="18">SUM(BA57:BE57)</f>
        <v>1690</v>
      </c>
      <c r="BG57" s="53"/>
      <c r="BH57" s="53"/>
      <c r="BI57" s="54"/>
    </row>
    <row r="58" spans="1:61" ht="14.65" customHeight="1" x14ac:dyDescent="0.2">
      <c r="A58" s="28">
        <v>5</v>
      </c>
      <c r="B58" s="30" t="s">
        <v>32</v>
      </c>
      <c r="C58" s="134">
        <v>1124</v>
      </c>
      <c r="D58" s="134">
        <v>0</v>
      </c>
      <c r="E58" s="134">
        <v>186</v>
      </c>
      <c r="F58" s="134">
        <v>0</v>
      </c>
      <c r="G58" s="134">
        <v>55</v>
      </c>
      <c r="H58" s="134">
        <f t="shared" si="16"/>
        <v>1365</v>
      </c>
      <c r="I58"/>
      <c r="J58"/>
      <c r="K58"/>
      <c r="L58" s="45" t="s">
        <v>28</v>
      </c>
      <c r="M58" s="109"/>
      <c r="N58" s="58"/>
      <c r="O58" s="58"/>
      <c r="P58" s="58"/>
      <c r="Q58" s="58"/>
      <c r="R58" s="58"/>
      <c r="S58"/>
      <c r="T58"/>
      <c r="U58"/>
      <c r="V58" s="30" t="s">
        <v>30</v>
      </c>
      <c r="W58" s="170">
        <v>695</v>
      </c>
      <c r="X58" s="170">
        <v>1039</v>
      </c>
      <c r="Y58" s="170">
        <v>181</v>
      </c>
      <c r="Z58" s="112">
        <v>11</v>
      </c>
      <c r="AA58" s="112">
        <v>25</v>
      </c>
      <c r="AB58" s="57">
        <f t="shared" ref="AB58:AB85" si="19">SUM(W58:AA58)</f>
        <v>1951</v>
      </c>
      <c r="AC58" s="53"/>
      <c r="AD58" s="53"/>
      <c r="AE58" s="54"/>
      <c r="AF58" s="30" t="s">
        <v>27</v>
      </c>
      <c r="AG58" s="195">
        <v>594</v>
      </c>
      <c r="AH58" s="95">
        <v>844</v>
      </c>
      <c r="AI58" s="95">
        <v>165</v>
      </c>
      <c r="AJ58" s="195">
        <v>10</v>
      </c>
      <c r="AK58" s="195">
        <f>35 + 27</f>
        <v>62</v>
      </c>
      <c r="AL58" s="71">
        <f t="shared" si="17"/>
        <v>1675</v>
      </c>
      <c r="AM58" s="53"/>
      <c r="AN58" s="53"/>
      <c r="AO58" s="54"/>
      <c r="AP58" s="30" t="s">
        <v>31</v>
      </c>
      <c r="AQ58" s="58"/>
      <c r="AR58" s="58"/>
      <c r="AS58" s="58"/>
      <c r="AT58" s="58"/>
      <c r="AU58" s="58"/>
      <c r="AV58" s="58"/>
      <c r="AW58" s="105"/>
      <c r="AX58" s="105"/>
      <c r="AY58" s="54"/>
      <c r="AZ58" s="30" t="s">
        <v>30</v>
      </c>
      <c r="BA58" s="170">
        <v>732</v>
      </c>
      <c r="BB58" s="170">
        <f>954</f>
        <v>954</v>
      </c>
      <c r="BC58" s="170">
        <v>195</v>
      </c>
      <c r="BD58" s="170">
        <f>9+3</f>
        <v>12</v>
      </c>
      <c r="BE58" s="170">
        <f>55+14</f>
        <v>69</v>
      </c>
      <c r="BF58" s="57">
        <f t="shared" si="18"/>
        <v>1962</v>
      </c>
      <c r="BG58" s="53"/>
      <c r="BH58" s="53"/>
      <c r="BI58" s="54"/>
    </row>
    <row r="59" spans="1:61" ht="14.65" customHeight="1" x14ac:dyDescent="0.2">
      <c r="A59" s="28">
        <v>6</v>
      </c>
      <c r="B59" s="30" t="s">
        <v>27</v>
      </c>
      <c r="C59" s="134">
        <v>1110</v>
      </c>
      <c r="D59" s="134">
        <v>0</v>
      </c>
      <c r="E59" s="134">
        <v>162</v>
      </c>
      <c r="F59" s="134">
        <v>4</v>
      </c>
      <c r="G59" s="134">
        <v>4</v>
      </c>
      <c r="H59" s="134">
        <f>SUM((C59:G59))</f>
        <v>1280</v>
      </c>
      <c r="I59" s="168"/>
      <c r="J59"/>
      <c r="K59"/>
      <c r="L59" s="45" t="s">
        <v>31</v>
      </c>
      <c r="M59" s="109"/>
      <c r="N59" s="58"/>
      <c r="O59" s="58"/>
      <c r="P59" s="58"/>
      <c r="Q59" s="58"/>
      <c r="R59" s="58"/>
      <c r="S59"/>
      <c r="T59"/>
      <c r="U59"/>
      <c r="V59" s="30" t="s">
        <v>32</v>
      </c>
      <c r="W59" s="57">
        <v>577</v>
      </c>
      <c r="X59" s="57">
        <v>837</v>
      </c>
      <c r="Y59" s="57">
        <v>163</v>
      </c>
      <c r="Z59" s="81">
        <v>10</v>
      </c>
      <c r="AA59" s="81">
        <v>0</v>
      </c>
      <c r="AB59" s="57">
        <f t="shared" si="19"/>
        <v>1587</v>
      </c>
      <c r="AC59" s="53"/>
      <c r="AD59" s="53"/>
      <c r="AE59" s="54"/>
      <c r="AF59" s="30" t="s">
        <v>24</v>
      </c>
      <c r="AG59" s="195">
        <v>0</v>
      </c>
      <c r="AH59" s="95">
        <v>773</v>
      </c>
      <c r="AI59" s="95">
        <v>124</v>
      </c>
      <c r="AJ59" s="195">
        <v>10</v>
      </c>
      <c r="AK59" s="195">
        <v>11</v>
      </c>
      <c r="AL59" s="71">
        <f t="shared" si="17"/>
        <v>918</v>
      </c>
      <c r="AM59" s="53"/>
      <c r="AN59" s="53"/>
      <c r="AO59" s="54"/>
      <c r="AP59" s="30" t="s">
        <v>26</v>
      </c>
      <c r="AQ59" s="57">
        <v>575</v>
      </c>
      <c r="AR59" s="57">
        <v>906</v>
      </c>
      <c r="AS59" s="57">
        <v>181</v>
      </c>
      <c r="AT59" s="57">
        <v>12</v>
      </c>
      <c r="AU59" s="57">
        <v>5</v>
      </c>
      <c r="AV59" s="170">
        <f t="shared" ref="AV59:AV63" si="20">SUM(AQ59:AU59)</f>
        <v>1679</v>
      </c>
      <c r="AW59" s="53"/>
      <c r="AX59" s="53"/>
      <c r="AY59" s="54"/>
      <c r="AZ59" s="30" t="s">
        <v>32</v>
      </c>
      <c r="BA59" s="57">
        <v>583</v>
      </c>
      <c r="BB59" s="57">
        <f>814</f>
        <v>814</v>
      </c>
      <c r="BC59" s="57">
        <v>202</v>
      </c>
      <c r="BD59" s="57">
        <f>10+2</f>
        <v>12</v>
      </c>
      <c r="BE59" s="57">
        <v>30</v>
      </c>
      <c r="BF59" s="57">
        <f t="shared" si="18"/>
        <v>1641</v>
      </c>
      <c r="BG59" s="53"/>
      <c r="BH59" s="53"/>
      <c r="BI59" s="54"/>
    </row>
    <row r="60" spans="1:61" ht="14.65" customHeight="1" x14ac:dyDescent="0.2">
      <c r="A60" s="28">
        <v>7</v>
      </c>
      <c r="B60" s="30" t="s">
        <v>24</v>
      </c>
      <c r="C60" s="134">
        <v>681</v>
      </c>
      <c r="D60" s="134">
        <v>0</v>
      </c>
      <c r="E60" s="134">
        <v>122</v>
      </c>
      <c r="F60" s="134">
        <v>1</v>
      </c>
      <c r="G60" s="134">
        <v>0</v>
      </c>
      <c r="H60" s="134">
        <f>SUM((C60:G60))</f>
        <v>804</v>
      </c>
      <c r="I60"/>
      <c r="J60"/>
      <c r="K60"/>
      <c r="L60" s="45" t="s">
        <v>26</v>
      </c>
      <c r="M60" s="69">
        <v>0</v>
      </c>
      <c r="N60" s="57">
        <v>739</v>
      </c>
      <c r="O60" s="57">
        <v>116</v>
      </c>
      <c r="P60" s="57">
        <v>4</v>
      </c>
      <c r="Q60" s="57"/>
      <c r="R60" s="57">
        <f>SUM(M60:Q60)</f>
        <v>859</v>
      </c>
      <c r="S60"/>
      <c r="T60"/>
      <c r="U60"/>
      <c r="V60" s="30" t="s">
        <v>27</v>
      </c>
      <c r="W60" s="57">
        <v>598</v>
      </c>
      <c r="X60" s="57">
        <v>910</v>
      </c>
      <c r="Y60" s="57">
        <v>156</v>
      </c>
      <c r="Z60" s="81">
        <v>15</v>
      </c>
      <c r="AA60" s="81">
        <v>2</v>
      </c>
      <c r="AB60" s="57">
        <f t="shared" si="19"/>
        <v>1681</v>
      </c>
      <c r="AC60" s="53"/>
      <c r="AD60" s="53"/>
      <c r="AE60" s="54"/>
      <c r="AF60" s="30" t="s">
        <v>28</v>
      </c>
      <c r="AG60" s="200"/>
      <c r="AH60" s="98"/>
      <c r="AI60" s="98"/>
      <c r="AJ60" s="200"/>
      <c r="AK60" s="200"/>
      <c r="AL60" s="88"/>
      <c r="AM60" s="53"/>
      <c r="AN60" s="53"/>
      <c r="AO60" s="54"/>
      <c r="AP60" s="30" t="s">
        <v>30</v>
      </c>
      <c r="AQ60" s="170">
        <v>725</v>
      </c>
      <c r="AR60" s="170">
        <v>1028</v>
      </c>
      <c r="AS60" s="170">
        <v>183</v>
      </c>
      <c r="AT60" s="170">
        <v>12</v>
      </c>
      <c r="AU60" s="170">
        <f>5+7</f>
        <v>12</v>
      </c>
      <c r="AV60" s="170">
        <f t="shared" si="20"/>
        <v>1960</v>
      </c>
      <c r="AW60" s="53"/>
      <c r="AX60" s="53"/>
      <c r="AY60" s="54"/>
      <c r="AZ60" s="30" t="s">
        <v>27</v>
      </c>
      <c r="BA60" s="57">
        <v>629</v>
      </c>
      <c r="BB60" s="57">
        <f>853</f>
        <v>853</v>
      </c>
      <c r="BC60" s="57">
        <v>188</v>
      </c>
      <c r="BD60" s="57">
        <f>10+8</f>
        <v>18</v>
      </c>
      <c r="BE60" s="57">
        <v>55</v>
      </c>
      <c r="BF60" s="57">
        <f t="shared" si="18"/>
        <v>1743</v>
      </c>
      <c r="BG60" s="53"/>
      <c r="BH60" s="53"/>
      <c r="BI60" s="54"/>
    </row>
    <row r="61" spans="1:61" ht="14.65" customHeight="1" x14ac:dyDescent="0.2">
      <c r="A61" s="28">
        <v>8</v>
      </c>
      <c r="B61" s="30" t="s">
        <v>28</v>
      </c>
      <c r="C61" s="88"/>
      <c r="D61" s="88"/>
      <c r="E61" s="88"/>
      <c r="F61" s="88"/>
      <c r="G61" s="88"/>
      <c r="H61" s="88"/>
      <c r="I61"/>
      <c r="J61"/>
      <c r="K61"/>
      <c r="L61" s="45" t="s">
        <v>30</v>
      </c>
      <c r="M61" s="69">
        <v>0</v>
      </c>
      <c r="N61" s="57">
        <v>879</v>
      </c>
      <c r="O61" s="57">
        <v>100</v>
      </c>
      <c r="P61" s="57">
        <v>5</v>
      </c>
      <c r="Q61" s="57"/>
      <c r="R61" s="57">
        <f>SUM((M61:Q61))</f>
        <v>984</v>
      </c>
      <c r="S61"/>
      <c r="T61"/>
      <c r="U61"/>
      <c r="V61" s="30" t="s">
        <v>24</v>
      </c>
      <c r="W61" s="57">
        <v>0</v>
      </c>
      <c r="X61" s="57">
        <v>749</v>
      </c>
      <c r="Y61" s="57">
        <v>140</v>
      </c>
      <c r="Z61" s="81">
        <v>7</v>
      </c>
      <c r="AA61" s="81">
        <v>0</v>
      </c>
      <c r="AB61" s="57">
        <f t="shared" si="19"/>
        <v>896</v>
      </c>
      <c r="AC61" s="53"/>
      <c r="AD61" s="53"/>
      <c r="AE61" s="54"/>
      <c r="AF61" s="30" t="s">
        <v>31</v>
      </c>
      <c r="AG61" s="200"/>
      <c r="AH61" s="98"/>
      <c r="AI61" s="98"/>
      <c r="AJ61" s="200"/>
      <c r="AK61" s="200"/>
      <c r="AL61" s="88"/>
      <c r="AM61" s="53"/>
      <c r="AN61" s="53"/>
      <c r="AO61" s="54"/>
      <c r="AP61" s="36" t="s">
        <v>32</v>
      </c>
      <c r="AQ61" s="176">
        <v>609</v>
      </c>
      <c r="AR61" s="176">
        <v>785</v>
      </c>
      <c r="AS61" s="176">
        <v>174</v>
      </c>
      <c r="AT61" s="176">
        <v>10</v>
      </c>
      <c r="AU61" s="176">
        <v>6</v>
      </c>
      <c r="AV61" s="170">
        <f t="shared" si="20"/>
        <v>1584</v>
      </c>
      <c r="AW61" s="53"/>
      <c r="AX61" s="53"/>
      <c r="AY61" s="54"/>
      <c r="AZ61" s="30" t="s">
        <v>24</v>
      </c>
      <c r="BA61" s="57">
        <v>633</v>
      </c>
      <c r="BB61" s="57">
        <v>0</v>
      </c>
      <c r="BC61" s="57">
        <v>160</v>
      </c>
      <c r="BD61" s="57">
        <f>6</f>
        <v>6</v>
      </c>
      <c r="BE61" s="57">
        <f>11</f>
        <v>11</v>
      </c>
      <c r="BF61" s="57">
        <f t="shared" si="18"/>
        <v>810</v>
      </c>
      <c r="BG61" s="53"/>
      <c r="BH61" s="53"/>
      <c r="BI61" s="54"/>
    </row>
    <row r="62" spans="1:61" ht="14.65" customHeight="1" x14ac:dyDescent="0.2">
      <c r="A62" s="28">
        <v>9</v>
      </c>
      <c r="B62" s="30" t="s">
        <v>31</v>
      </c>
      <c r="C62" s="88"/>
      <c r="D62" s="88"/>
      <c r="E62" s="88"/>
      <c r="F62" s="88"/>
      <c r="G62" s="88"/>
      <c r="H62" s="88"/>
      <c r="I62"/>
      <c r="J62"/>
      <c r="K62"/>
      <c r="L62" s="45" t="s">
        <v>32</v>
      </c>
      <c r="M62" s="69">
        <v>0</v>
      </c>
      <c r="N62" s="57">
        <v>745</v>
      </c>
      <c r="O62" s="57">
        <v>101</v>
      </c>
      <c r="P62" s="57">
        <v>4</v>
      </c>
      <c r="Q62" s="57"/>
      <c r="R62" s="57">
        <f>SUM((M62:Q62))</f>
        <v>850</v>
      </c>
      <c r="S62"/>
      <c r="T62"/>
      <c r="U62"/>
      <c r="V62" s="30" t="s">
        <v>28</v>
      </c>
      <c r="W62" s="58"/>
      <c r="X62" s="58"/>
      <c r="Y62" s="58"/>
      <c r="Z62" s="186"/>
      <c r="AA62" s="186"/>
      <c r="AB62" s="58"/>
      <c r="AC62" s="53"/>
      <c r="AD62" s="53"/>
      <c r="AE62" s="54"/>
      <c r="AF62" s="30" t="s">
        <v>26</v>
      </c>
      <c r="AG62" s="195">
        <v>1072</v>
      </c>
      <c r="AH62" s="95">
        <v>0</v>
      </c>
      <c r="AI62" s="95">
        <v>182</v>
      </c>
      <c r="AJ62" s="195">
        <v>1</v>
      </c>
      <c r="AK62" s="195">
        <v>20</v>
      </c>
      <c r="AL62" s="71">
        <f>SUM(AG62:AK62)</f>
        <v>1275</v>
      </c>
      <c r="AM62" s="53"/>
      <c r="AN62" s="53"/>
      <c r="AO62" s="54"/>
      <c r="AP62" s="30" t="s">
        <v>27</v>
      </c>
      <c r="AQ62" s="90">
        <v>627</v>
      </c>
      <c r="AR62" s="90">
        <v>941</v>
      </c>
      <c r="AS62" s="90">
        <v>189</v>
      </c>
      <c r="AT62" s="90">
        <f>10+3</f>
        <v>13</v>
      </c>
      <c r="AU62" s="90">
        <f>18+19+6</f>
        <v>43</v>
      </c>
      <c r="AV62" s="170">
        <f t="shared" si="20"/>
        <v>1813</v>
      </c>
      <c r="AW62" s="53"/>
      <c r="AX62" s="53"/>
      <c r="AY62" s="54"/>
      <c r="AZ62" s="30" t="s">
        <v>28</v>
      </c>
      <c r="BA62" s="58"/>
      <c r="BB62" s="58"/>
      <c r="BC62" s="58"/>
      <c r="BD62" s="58"/>
      <c r="BE62" s="58"/>
      <c r="BF62" s="58"/>
      <c r="BG62" s="53"/>
      <c r="BH62" s="53"/>
      <c r="BI62" s="54"/>
    </row>
    <row r="63" spans="1:61" ht="14.65" customHeight="1" x14ac:dyDescent="0.2">
      <c r="A63" s="28">
        <v>10</v>
      </c>
      <c r="B63" s="30" t="s">
        <v>26</v>
      </c>
      <c r="C63" s="134">
        <v>1025</v>
      </c>
      <c r="D63" s="134">
        <v>0</v>
      </c>
      <c r="E63" s="134">
        <v>190</v>
      </c>
      <c r="F63" s="134">
        <v>2</v>
      </c>
      <c r="G63" s="134">
        <v>0</v>
      </c>
      <c r="H63" s="134">
        <f>SUM(C63:G63)</f>
        <v>1217</v>
      </c>
      <c r="I63"/>
      <c r="J63"/>
      <c r="K63"/>
      <c r="L63" s="45" t="s">
        <v>27</v>
      </c>
      <c r="M63" s="69">
        <v>0</v>
      </c>
      <c r="N63" s="57">
        <v>680</v>
      </c>
      <c r="O63" s="57">
        <v>101</v>
      </c>
      <c r="P63" s="57">
        <v>3</v>
      </c>
      <c r="Q63" s="57"/>
      <c r="R63" s="57">
        <f>SUM((M63:Q63))</f>
        <v>784</v>
      </c>
      <c r="S63"/>
      <c r="T63"/>
      <c r="U63"/>
      <c r="V63" s="30" t="s">
        <v>31</v>
      </c>
      <c r="W63" s="219"/>
      <c r="X63" s="219"/>
      <c r="Y63" s="219"/>
      <c r="Z63" s="220"/>
      <c r="AA63" s="220"/>
      <c r="AB63" s="58"/>
      <c r="AC63" s="53"/>
      <c r="AD63" s="53"/>
      <c r="AE63" s="54"/>
      <c r="AF63" s="30" t="s">
        <v>30</v>
      </c>
      <c r="AG63" s="199">
        <v>786</v>
      </c>
      <c r="AH63" s="174">
        <v>932</v>
      </c>
      <c r="AI63" s="174">
        <v>168</v>
      </c>
      <c r="AJ63" s="199">
        <v>11</v>
      </c>
      <c r="AK63" s="199">
        <v>36</v>
      </c>
      <c r="AL63" s="71">
        <f>SUM(AG63:AK63)</f>
        <v>1933</v>
      </c>
      <c r="AM63" s="53"/>
      <c r="AN63" s="53"/>
      <c r="AO63" s="54"/>
      <c r="AP63" s="30" t="s">
        <v>24</v>
      </c>
      <c r="AQ63" s="91">
        <v>712</v>
      </c>
      <c r="AR63" s="91">
        <v>0</v>
      </c>
      <c r="AS63" s="91">
        <v>145</v>
      </c>
      <c r="AT63" s="91">
        <v>0</v>
      </c>
      <c r="AU63" s="91">
        <f>13+22</f>
        <v>35</v>
      </c>
      <c r="AV63" s="170">
        <f t="shared" si="20"/>
        <v>892</v>
      </c>
      <c r="AW63" s="53"/>
      <c r="AX63" s="53"/>
      <c r="AY63" s="54"/>
      <c r="AZ63" s="30" t="s">
        <v>31</v>
      </c>
      <c r="BA63" s="58"/>
      <c r="BB63" s="58"/>
      <c r="BC63" s="58"/>
      <c r="BD63" s="58"/>
      <c r="BE63" s="58"/>
      <c r="BF63" s="58"/>
      <c r="BG63" s="53"/>
      <c r="BH63" s="53"/>
      <c r="BI63" s="54"/>
    </row>
    <row r="64" spans="1:61" ht="14.65" customHeight="1" x14ac:dyDescent="0.2">
      <c r="A64" s="28">
        <v>11</v>
      </c>
      <c r="B64" s="30" t="s">
        <v>30</v>
      </c>
      <c r="C64" s="71">
        <v>1189</v>
      </c>
      <c r="D64" s="71">
        <v>0</v>
      </c>
      <c r="E64" s="71">
        <v>155</v>
      </c>
      <c r="F64" s="71">
        <v>2</v>
      </c>
      <c r="G64" s="71">
        <v>0</v>
      </c>
      <c r="H64" s="134">
        <f t="shared" si="16"/>
        <v>1346</v>
      </c>
      <c r="I64"/>
      <c r="J64"/>
      <c r="K64"/>
      <c r="L64" s="45" t="s">
        <v>24</v>
      </c>
      <c r="M64" s="59">
        <v>0</v>
      </c>
      <c r="N64" s="57">
        <v>347</v>
      </c>
      <c r="O64" s="57">
        <v>87</v>
      </c>
      <c r="P64" s="57">
        <v>0</v>
      </c>
      <c r="Q64" s="57"/>
      <c r="R64" s="57">
        <f>SUM((M64:Q64))</f>
        <v>434</v>
      </c>
      <c r="S64"/>
      <c r="T64"/>
      <c r="U64"/>
      <c r="V64" s="36" t="s">
        <v>26</v>
      </c>
      <c r="W64" s="90">
        <v>543</v>
      </c>
      <c r="X64" s="90">
        <v>875</v>
      </c>
      <c r="Y64" s="90">
        <v>183</v>
      </c>
      <c r="Z64" s="185">
        <v>6</v>
      </c>
      <c r="AA64" s="185">
        <v>0</v>
      </c>
      <c r="AB64" s="349">
        <f t="shared" si="19"/>
        <v>1607</v>
      </c>
      <c r="AC64" s="53"/>
      <c r="AD64" s="53"/>
      <c r="AE64" s="54"/>
      <c r="AF64" s="30" t="s">
        <v>32</v>
      </c>
      <c r="AG64" s="195">
        <v>611</v>
      </c>
      <c r="AH64" s="95">
        <v>742</v>
      </c>
      <c r="AI64" s="95">
        <v>181</v>
      </c>
      <c r="AJ64" s="195">
        <v>12</v>
      </c>
      <c r="AK64" s="195">
        <v>8</v>
      </c>
      <c r="AL64" s="71">
        <f t="shared" ref="AL64:AL66" si="21">SUM(AG64:AK64)</f>
        <v>1554</v>
      </c>
      <c r="AM64" s="53"/>
      <c r="AN64" s="53"/>
      <c r="AO64" s="54"/>
      <c r="AP64" s="30" t="s">
        <v>28</v>
      </c>
      <c r="AQ64" s="154" t="s">
        <v>44</v>
      </c>
      <c r="AR64"/>
      <c r="AS64"/>
      <c r="AT64"/>
      <c r="AU64"/>
      <c r="AV64"/>
      <c r="AW64" s="89"/>
      <c r="AX64" s="89"/>
      <c r="AY64" s="89"/>
      <c r="AZ64" s="30" t="s">
        <v>26</v>
      </c>
      <c r="BA64" s="57">
        <v>598</v>
      </c>
      <c r="BB64" s="57">
        <f>819</f>
        <v>819</v>
      </c>
      <c r="BC64" s="57">
        <v>174</v>
      </c>
      <c r="BD64" s="57">
        <v>10</v>
      </c>
      <c r="BE64" s="57"/>
      <c r="BF64" s="57">
        <f>SUM(BA64:BE64)</f>
        <v>1601</v>
      </c>
      <c r="BG64" s="53"/>
      <c r="BH64" s="53"/>
      <c r="BI64" s="54"/>
    </row>
    <row r="65" spans="1:61" ht="14.65" customHeight="1" x14ac:dyDescent="0.2">
      <c r="A65" s="28">
        <v>12</v>
      </c>
      <c r="B65" s="30" t="s">
        <v>32</v>
      </c>
      <c r="C65" s="134">
        <v>945</v>
      </c>
      <c r="D65" s="134">
        <v>0</v>
      </c>
      <c r="E65" s="134">
        <v>161</v>
      </c>
      <c r="F65" s="134">
        <v>2</v>
      </c>
      <c r="G65" s="134">
        <v>0</v>
      </c>
      <c r="H65" s="134">
        <f>SUM((C65:G65))</f>
        <v>1108</v>
      </c>
      <c r="I65"/>
      <c r="J65"/>
      <c r="K65"/>
      <c r="L65" s="45" t="s">
        <v>28</v>
      </c>
      <c r="M65" s="109"/>
      <c r="N65" s="58"/>
      <c r="O65" s="58"/>
      <c r="P65" s="58"/>
      <c r="Q65" s="58"/>
      <c r="R65" s="58"/>
      <c r="S65"/>
      <c r="T65"/>
      <c r="U65"/>
      <c r="V65" s="36" t="s">
        <v>30</v>
      </c>
      <c r="W65" s="221">
        <v>746</v>
      </c>
      <c r="X65" s="221">
        <v>992</v>
      </c>
      <c r="Y65" s="221">
        <v>200</v>
      </c>
      <c r="Z65" s="222">
        <f>10+4</f>
        <v>14</v>
      </c>
      <c r="AA65" s="222">
        <v>9</v>
      </c>
      <c r="AB65" s="349">
        <f t="shared" si="19"/>
        <v>1961</v>
      </c>
      <c r="AC65" s="53"/>
      <c r="AD65" s="53"/>
      <c r="AE65" s="54"/>
      <c r="AF65" s="30" t="s">
        <v>27</v>
      </c>
      <c r="AG65" s="195">
        <v>617</v>
      </c>
      <c r="AH65" s="95">
        <v>897</v>
      </c>
      <c r="AI65" s="95">
        <v>183</v>
      </c>
      <c r="AJ65" s="195">
        <v>11</v>
      </c>
      <c r="AK65" s="195">
        <v>8</v>
      </c>
      <c r="AL65" s="71">
        <f t="shared" si="21"/>
        <v>1716</v>
      </c>
      <c r="AM65" s="53"/>
      <c r="AN65" s="53"/>
      <c r="AO65" s="54"/>
      <c r="AP65" s="30" t="s">
        <v>31</v>
      </c>
      <c r="AQ65" s="58"/>
      <c r="AR65" s="58"/>
      <c r="AS65" s="58"/>
      <c r="AT65" s="58"/>
      <c r="AU65" s="58"/>
      <c r="AV65" s="58"/>
      <c r="AW65" s="53"/>
      <c r="AX65" s="53"/>
      <c r="AY65" s="54"/>
      <c r="AZ65" s="30" t="s">
        <v>30</v>
      </c>
      <c r="BA65" s="170">
        <v>836</v>
      </c>
      <c r="BB65" s="170">
        <f>1112</f>
        <v>1112</v>
      </c>
      <c r="BC65" s="170">
        <v>241</v>
      </c>
      <c r="BD65" s="170"/>
      <c r="BE65" s="170">
        <f>1+11</f>
        <v>12</v>
      </c>
      <c r="BF65" s="57">
        <f>SUM(BA65:BE65)</f>
        <v>2201</v>
      </c>
      <c r="BG65" s="53"/>
      <c r="BH65" s="53"/>
      <c r="BI65" s="54"/>
    </row>
    <row r="66" spans="1:61" ht="14.65" customHeight="1" x14ac:dyDescent="0.2">
      <c r="A66" s="28">
        <v>13</v>
      </c>
      <c r="B66" s="30" t="s">
        <v>27</v>
      </c>
      <c r="C66" s="134">
        <v>727</v>
      </c>
      <c r="D66" s="134">
        <v>0</v>
      </c>
      <c r="E66" s="134">
        <v>161</v>
      </c>
      <c r="F66" s="134">
        <v>0</v>
      </c>
      <c r="G66" s="134">
        <v>0</v>
      </c>
      <c r="H66" s="134">
        <f t="shared" si="16"/>
        <v>888</v>
      </c>
      <c r="I66"/>
      <c r="J66"/>
      <c r="K66"/>
      <c r="L66" s="46" t="s">
        <v>31</v>
      </c>
      <c r="M66" s="109"/>
      <c r="N66" s="58"/>
      <c r="O66" s="58"/>
      <c r="P66" s="58"/>
      <c r="Q66" s="58"/>
      <c r="R66" s="58"/>
      <c r="S66"/>
      <c r="T66"/>
      <c r="U66"/>
      <c r="V66" s="36" t="s">
        <v>32</v>
      </c>
      <c r="W66" s="223">
        <v>619</v>
      </c>
      <c r="X66" s="223">
        <v>859</v>
      </c>
      <c r="Y66" s="223">
        <v>153</v>
      </c>
      <c r="Z66" s="224">
        <v>3</v>
      </c>
      <c r="AA66" s="224">
        <v>53</v>
      </c>
      <c r="AB66" s="353">
        <f t="shared" si="19"/>
        <v>1687</v>
      </c>
      <c r="AC66" s="53"/>
      <c r="AD66" s="53"/>
      <c r="AE66" s="54"/>
      <c r="AF66" s="30" t="s">
        <v>24</v>
      </c>
      <c r="AG66" s="195">
        <v>626</v>
      </c>
      <c r="AH66" s="95">
        <v>0</v>
      </c>
      <c r="AI66" s="95">
        <v>138</v>
      </c>
      <c r="AJ66" s="195">
        <v>0</v>
      </c>
      <c r="AK66" s="195">
        <v>1</v>
      </c>
      <c r="AL66" s="71">
        <f t="shared" si="21"/>
        <v>765</v>
      </c>
      <c r="AM66" s="53"/>
      <c r="AN66" s="53"/>
      <c r="AO66" s="54"/>
      <c r="AP66" s="30" t="s">
        <v>26</v>
      </c>
      <c r="AQ66" s="57">
        <v>641</v>
      </c>
      <c r="AR66" s="57">
        <v>883</v>
      </c>
      <c r="AS66" s="57">
        <v>182</v>
      </c>
      <c r="AT66" s="57">
        <f>11</f>
        <v>11</v>
      </c>
      <c r="AU66" s="57"/>
      <c r="AV66" s="170">
        <f>SUM(AQ66:AU66)</f>
        <v>1717</v>
      </c>
      <c r="AW66" s="53"/>
      <c r="AX66" s="53"/>
      <c r="AY66" s="54"/>
      <c r="AZ66" s="30" t="s">
        <v>32</v>
      </c>
      <c r="BA66" s="170">
        <v>567</v>
      </c>
      <c r="BB66" s="170">
        <f>733</f>
        <v>733</v>
      </c>
      <c r="BC66" s="170">
        <v>173</v>
      </c>
      <c r="BD66" s="170">
        <f>8+1</f>
        <v>9</v>
      </c>
      <c r="BE66" s="170">
        <f>22+17</f>
        <v>39</v>
      </c>
      <c r="BF66" s="57">
        <f t="shared" si="18"/>
        <v>1521</v>
      </c>
      <c r="BG66" s="53"/>
      <c r="BH66" s="53"/>
      <c r="BI66" s="54"/>
    </row>
    <row r="67" spans="1:61" ht="14.65" customHeight="1" x14ac:dyDescent="0.2">
      <c r="A67" s="28">
        <v>14</v>
      </c>
      <c r="B67" s="30" t="s">
        <v>24</v>
      </c>
      <c r="C67" s="164" t="s">
        <v>48</v>
      </c>
      <c r="D67"/>
      <c r="E67"/>
      <c r="F67"/>
      <c r="G67"/>
      <c r="H67"/>
      <c r="I67"/>
      <c r="J67"/>
      <c r="K67"/>
      <c r="L67" s="45" t="s">
        <v>26</v>
      </c>
      <c r="M67" s="228"/>
      <c r="N67" s="225" t="s">
        <v>58</v>
      </c>
      <c r="O67" s="226"/>
      <c r="P67" s="226"/>
      <c r="Q67" s="226"/>
      <c r="R67" s="226">
        <f t="shared" ref="R67:R83" si="22">SUM((M67:Q67))</f>
        <v>0</v>
      </c>
      <c r="S67"/>
      <c r="T67"/>
      <c r="U67"/>
      <c r="V67" s="36" t="s">
        <v>27</v>
      </c>
      <c r="W67" s="90">
        <v>598</v>
      </c>
      <c r="X67" s="90">
        <v>856</v>
      </c>
      <c r="Y67" s="90">
        <v>169</v>
      </c>
      <c r="Z67" s="185">
        <v>3</v>
      </c>
      <c r="AA67" s="185">
        <v>5</v>
      </c>
      <c r="AB67" s="90">
        <f t="shared" si="19"/>
        <v>1631</v>
      </c>
      <c r="AC67" s="53"/>
      <c r="AD67" s="53"/>
      <c r="AE67" s="54"/>
      <c r="AF67" s="30" t="s">
        <v>28</v>
      </c>
      <c r="AG67" s="200"/>
      <c r="AH67" s="98"/>
      <c r="AI67" s="98"/>
      <c r="AJ67" s="200"/>
      <c r="AK67" s="200"/>
      <c r="AL67" s="88"/>
      <c r="AM67" s="53"/>
      <c r="AN67" s="53"/>
      <c r="AO67" s="54"/>
      <c r="AP67" s="30" t="s">
        <v>30</v>
      </c>
      <c r="AQ67" s="170">
        <v>733</v>
      </c>
      <c r="AR67" s="170">
        <f>1028</f>
        <v>1028</v>
      </c>
      <c r="AS67" s="170">
        <v>183</v>
      </c>
      <c r="AT67" s="170">
        <v>14</v>
      </c>
      <c r="AU67" s="170">
        <f>15+2</f>
        <v>17</v>
      </c>
      <c r="AV67" s="170">
        <f>SUM(AQ67:AU67)</f>
        <v>1975</v>
      </c>
      <c r="AW67" s="53"/>
      <c r="AX67" s="53"/>
      <c r="AY67" s="54"/>
      <c r="AZ67" s="30" t="s">
        <v>27</v>
      </c>
      <c r="BA67" s="57">
        <v>624</v>
      </c>
      <c r="BB67" s="57">
        <f>882</f>
        <v>882</v>
      </c>
      <c r="BC67" s="57">
        <v>180</v>
      </c>
      <c r="BD67" s="57">
        <f>13</f>
        <v>13</v>
      </c>
      <c r="BE67" s="57">
        <f>17+38</f>
        <v>55</v>
      </c>
      <c r="BF67" s="57">
        <f t="shared" si="18"/>
        <v>1754</v>
      </c>
      <c r="BG67" s="53"/>
      <c r="BH67" s="53"/>
      <c r="BI67" s="54"/>
    </row>
    <row r="68" spans="1:61" ht="14.65" customHeight="1" x14ac:dyDescent="0.2">
      <c r="A68" s="28">
        <v>15</v>
      </c>
      <c r="B68" s="30" t="s">
        <v>28</v>
      </c>
      <c r="C68" s="88"/>
      <c r="D68" s="88"/>
      <c r="E68" s="135"/>
      <c r="F68" s="135"/>
      <c r="G68" s="135"/>
      <c r="H68" s="88"/>
      <c r="I68"/>
      <c r="J68"/>
      <c r="K68"/>
      <c r="L68" s="45" t="s">
        <v>30</v>
      </c>
      <c r="M68" s="311" t="s">
        <v>56</v>
      </c>
      <c r="N68" s="172"/>
      <c r="O68" s="172"/>
      <c r="P68" s="172"/>
      <c r="Q68" s="172"/>
      <c r="R68" s="173"/>
      <c r="S68"/>
      <c r="T68"/>
      <c r="U68"/>
      <c r="V68" s="36" t="s">
        <v>24</v>
      </c>
      <c r="W68" s="356">
        <v>824</v>
      </c>
      <c r="X68" s="90">
        <v>0</v>
      </c>
      <c r="Y68" s="90">
        <v>141</v>
      </c>
      <c r="Z68" s="185">
        <f>3</f>
        <v>3</v>
      </c>
      <c r="AA68" s="185">
        <f>13</f>
        <v>13</v>
      </c>
      <c r="AB68" s="90">
        <f t="shared" si="19"/>
        <v>981</v>
      </c>
      <c r="AC68" s="53"/>
      <c r="AD68" s="53"/>
      <c r="AE68" s="54"/>
      <c r="AF68" s="30" t="s">
        <v>31</v>
      </c>
      <c r="AG68" s="200"/>
      <c r="AH68" s="98"/>
      <c r="AI68" s="98"/>
      <c r="AJ68" s="200"/>
      <c r="AK68" s="200"/>
      <c r="AL68" s="88"/>
      <c r="AM68" s="53"/>
      <c r="AN68" s="53"/>
      <c r="AO68" s="54"/>
      <c r="AP68" s="30" t="s">
        <v>32</v>
      </c>
      <c r="AQ68" s="57">
        <v>588</v>
      </c>
      <c r="AR68" s="57">
        <v>769</v>
      </c>
      <c r="AS68" s="57">
        <v>156</v>
      </c>
      <c r="AT68" s="57">
        <v>9</v>
      </c>
      <c r="AU68" s="57">
        <f>19</f>
        <v>19</v>
      </c>
      <c r="AV68" s="170">
        <f t="shared" ref="AV68:AV70" si="23">SUM(AQ68:AU68)</f>
        <v>1541</v>
      </c>
      <c r="AW68" s="53"/>
      <c r="AX68" s="53"/>
      <c r="AY68" s="54"/>
      <c r="AZ68" s="30" t="s">
        <v>24</v>
      </c>
      <c r="BA68" s="57"/>
      <c r="BB68" s="57">
        <f>654</f>
        <v>654</v>
      </c>
      <c r="BC68" s="57">
        <v>111</v>
      </c>
      <c r="BD68" s="57">
        <f>8</f>
        <v>8</v>
      </c>
      <c r="BE68" s="57"/>
      <c r="BF68" s="57">
        <f t="shared" si="18"/>
        <v>773</v>
      </c>
      <c r="BG68" s="53"/>
      <c r="BH68" s="53"/>
      <c r="BI68" s="54"/>
    </row>
    <row r="69" spans="1:61" ht="14.65" customHeight="1" x14ac:dyDescent="0.2">
      <c r="A69" s="28">
        <v>16</v>
      </c>
      <c r="B69" s="30" t="s">
        <v>31</v>
      </c>
      <c r="C69" s="88"/>
      <c r="D69" s="88"/>
      <c r="E69" s="135"/>
      <c r="F69" s="135"/>
      <c r="G69" s="135"/>
      <c r="H69" s="88"/>
      <c r="I69"/>
      <c r="J69"/>
      <c r="K69"/>
      <c r="L69" s="45" t="s">
        <v>32</v>
      </c>
      <c r="M69" s="69">
        <v>0</v>
      </c>
      <c r="N69" s="57">
        <v>636</v>
      </c>
      <c r="O69" s="57">
        <v>98</v>
      </c>
      <c r="P69" s="57">
        <v>3</v>
      </c>
      <c r="Q69" s="57"/>
      <c r="R69" s="57">
        <f>SUM((M69:Q69))</f>
        <v>737</v>
      </c>
      <c r="S69"/>
      <c r="T69"/>
      <c r="U69"/>
      <c r="V69" s="30" t="s">
        <v>28</v>
      </c>
      <c r="W69" s="304"/>
      <c r="X69" s="304"/>
      <c r="Y69" s="304"/>
      <c r="Z69" s="305"/>
      <c r="AA69" s="305"/>
      <c r="AB69" s="304"/>
      <c r="AC69" s="53"/>
      <c r="AD69" s="53"/>
      <c r="AE69" s="54"/>
      <c r="AF69" s="30" t="s">
        <v>26</v>
      </c>
      <c r="AG69" s="195">
        <v>623</v>
      </c>
      <c r="AH69" s="95">
        <v>839</v>
      </c>
      <c r="AI69" s="95">
        <v>190</v>
      </c>
      <c r="AJ69" s="195">
        <v>11</v>
      </c>
      <c r="AK69" s="195">
        <f>9+17</f>
        <v>26</v>
      </c>
      <c r="AL69" s="71">
        <f>SUM(AG69:AK69)</f>
        <v>1689</v>
      </c>
      <c r="AM69" s="53"/>
      <c r="AN69" s="53"/>
      <c r="AO69" s="54"/>
      <c r="AP69" s="30" t="s">
        <v>27</v>
      </c>
      <c r="AQ69" s="57">
        <v>594</v>
      </c>
      <c r="AR69" s="57">
        <v>919</v>
      </c>
      <c r="AS69" s="57">
        <v>212</v>
      </c>
      <c r="AT69" s="57">
        <v>16</v>
      </c>
      <c r="AU69" s="57">
        <f>8+11</f>
        <v>19</v>
      </c>
      <c r="AV69" s="170">
        <f t="shared" si="23"/>
        <v>1760</v>
      </c>
      <c r="AW69" s="53"/>
      <c r="AX69" s="53"/>
      <c r="AY69" s="54"/>
      <c r="AZ69" s="30" t="s">
        <v>28</v>
      </c>
      <c r="BA69" s="58"/>
      <c r="BB69" s="58"/>
      <c r="BC69" s="58"/>
      <c r="BD69" s="58"/>
      <c r="BE69" s="58"/>
      <c r="BF69" s="58"/>
      <c r="BG69" s="53"/>
      <c r="BH69" s="53"/>
      <c r="BI69" s="54"/>
    </row>
    <row r="70" spans="1:61" ht="14.65" customHeight="1" x14ac:dyDescent="0.2">
      <c r="A70" s="28">
        <v>17</v>
      </c>
      <c r="B70" s="30" t="s">
        <v>26</v>
      </c>
      <c r="C70" s="134">
        <v>926</v>
      </c>
      <c r="D70" s="134">
        <v>0</v>
      </c>
      <c r="E70" s="134">
        <v>155</v>
      </c>
      <c r="F70" s="134">
        <v>2</v>
      </c>
      <c r="G70" s="134">
        <v>0</v>
      </c>
      <c r="H70" s="134">
        <f>SUM(C70:G70)</f>
        <v>1083</v>
      </c>
      <c r="I70"/>
      <c r="J70"/>
      <c r="K70"/>
      <c r="L70" s="45" t="s">
        <v>27</v>
      </c>
      <c r="M70" s="59">
        <v>0</v>
      </c>
      <c r="N70" s="57">
        <v>719</v>
      </c>
      <c r="O70" s="57">
        <v>105</v>
      </c>
      <c r="P70" s="57">
        <v>5</v>
      </c>
      <c r="Q70" s="57"/>
      <c r="R70" s="57">
        <f>SUM((M70:Q70))</f>
        <v>829</v>
      </c>
      <c r="S70"/>
      <c r="T70"/>
      <c r="U70"/>
      <c r="V70" s="30" t="s">
        <v>31</v>
      </c>
      <c r="W70" s="58"/>
      <c r="X70" s="58"/>
      <c r="Y70" s="58"/>
      <c r="Z70" s="186"/>
      <c r="AA70" s="186"/>
      <c r="AB70" s="58"/>
      <c r="AC70" s="53"/>
      <c r="AD70" s="53"/>
      <c r="AE70" s="54"/>
      <c r="AF70" s="30" t="s">
        <v>30</v>
      </c>
      <c r="AG70" s="199">
        <v>725</v>
      </c>
      <c r="AH70" s="174">
        <v>978</v>
      </c>
      <c r="AI70" s="174">
        <v>204</v>
      </c>
      <c r="AJ70" s="199">
        <v>18</v>
      </c>
      <c r="AK70" s="199">
        <v>0</v>
      </c>
      <c r="AL70" s="71">
        <f>SUM(AG70:AK70)</f>
        <v>1925</v>
      </c>
      <c r="AM70" s="175"/>
      <c r="AN70"/>
      <c r="AO70"/>
      <c r="AP70" s="30" t="s">
        <v>24</v>
      </c>
      <c r="AQ70" s="57">
        <v>0</v>
      </c>
      <c r="AR70" s="57">
        <v>730</v>
      </c>
      <c r="AS70" s="57">
        <v>143</v>
      </c>
      <c r="AT70" s="57">
        <v>8</v>
      </c>
      <c r="AU70" s="57"/>
      <c r="AV70" s="170">
        <f t="shared" si="23"/>
        <v>881</v>
      </c>
      <c r="AW70" s="53"/>
      <c r="AX70" s="53"/>
      <c r="AY70" s="54"/>
      <c r="AZ70" s="30" t="s">
        <v>31</v>
      </c>
      <c r="BA70" s="58"/>
      <c r="BB70" s="58"/>
      <c r="BC70" s="58"/>
      <c r="BD70" s="58"/>
      <c r="BE70" s="58"/>
      <c r="BF70" s="58"/>
      <c r="BG70" s="53"/>
      <c r="BH70" s="53"/>
      <c r="BI70" s="54"/>
    </row>
    <row r="71" spans="1:61" ht="14.65" customHeight="1" x14ac:dyDescent="0.2">
      <c r="A71" s="28">
        <v>18</v>
      </c>
      <c r="B71" s="30" t="s">
        <v>30</v>
      </c>
      <c r="C71" s="71">
        <v>1157</v>
      </c>
      <c r="D71" s="71">
        <v>0</v>
      </c>
      <c r="E71" s="71">
        <v>155</v>
      </c>
      <c r="F71" s="71">
        <v>1</v>
      </c>
      <c r="G71" s="71">
        <v>14</v>
      </c>
      <c r="H71" s="134">
        <f t="shared" ref="H71:H80" si="24">SUM((C71:G71))</f>
        <v>1327</v>
      </c>
      <c r="I71"/>
      <c r="J71"/>
      <c r="K71"/>
      <c r="L71" s="45" t="s">
        <v>24</v>
      </c>
      <c r="M71" s="69">
        <v>0</v>
      </c>
      <c r="N71" s="57">
        <v>378</v>
      </c>
      <c r="O71" s="57">
        <v>80</v>
      </c>
      <c r="P71" s="57">
        <v>5</v>
      </c>
      <c r="Q71" s="57"/>
      <c r="R71" s="57">
        <f>SUM((M71:Q71))</f>
        <v>463</v>
      </c>
      <c r="S71"/>
      <c r="T71"/>
      <c r="U71"/>
      <c r="V71" s="30" t="s">
        <v>26</v>
      </c>
      <c r="W71" s="57">
        <v>595</v>
      </c>
      <c r="X71" s="57">
        <v>907</v>
      </c>
      <c r="Y71" s="57">
        <v>173</v>
      </c>
      <c r="Z71" s="81">
        <f>11+2</f>
        <v>13</v>
      </c>
      <c r="AA71" s="81">
        <v>9</v>
      </c>
      <c r="AB71" s="57">
        <f t="shared" si="19"/>
        <v>1697</v>
      </c>
      <c r="AC71" s="53"/>
      <c r="AD71" s="53"/>
      <c r="AE71" s="54"/>
      <c r="AF71" s="30" t="s">
        <v>32</v>
      </c>
      <c r="AG71" s="195">
        <v>603</v>
      </c>
      <c r="AH71" s="95">
        <v>753</v>
      </c>
      <c r="AI71" s="95">
        <v>172</v>
      </c>
      <c r="AJ71" s="195">
        <v>6</v>
      </c>
      <c r="AK71" s="195">
        <f>14+9+7</f>
        <v>30</v>
      </c>
      <c r="AL71" s="71">
        <f>SUM(AG71:AK71)</f>
        <v>1564</v>
      </c>
      <c r="AM71"/>
      <c r="AN71"/>
      <c r="AO71"/>
      <c r="AP71" s="30" t="s">
        <v>28</v>
      </c>
      <c r="AQ71" s="58"/>
      <c r="AR71" s="58"/>
      <c r="AS71" s="58"/>
      <c r="AT71" s="58"/>
      <c r="AU71" s="58"/>
      <c r="AV71" s="58"/>
      <c r="AW71" s="53"/>
      <c r="AX71" s="53"/>
      <c r="AY71" s="54"/>
      <c r="AZ71" s="30" t="s">
        <v>26</v>
      </c>
      <c r="BA71" s="57">
        <v>513</v>
      </c>
      <c r="BB71" s="57">
        <v>740</v>
      </c>
      <c r="BC71" s="57">
        <v>167</v>
      </c>
      <c r="BD71" s="57">
        <v>12</v>
      </c>
      <c r="BE71" s="57">
        <v>2</v>
      </c>
      <c r="BF71" s="57">
        <f>SUM(BA71:BE71)</f>
        <v>1434</v>
      </c>
      <c r="BG71" s="53"/>
      <c r="BH71" s="53"/>
      <c r="BI71" s="54"/>
    </row>
    <row r="72" spans="1:61" ht="14.65" customHeight="1" x14ac:dyDescent="0.2">
      <c r="A72" s="28">
        <v>19</v>
      </c>
      <c r="B72" s="30" t="s">
        <v>32</v>
      </c>
      <c r="C72" s="71">
        <v>1000</v>
      </c>
      <c r="D72" s="71">
        <v>0</v>
      </c>
      <c r="E72" s="71">
        <v>153</v>
      </c>
      <c r="F72" s="71">
        <v>1</v>
      </c>
      <c r="G72" s="71">
        <v>0</v>
      </c>
      <c r="H72" s="134">
        <f t="shared" si="24"/>
        <v>1154</v>
      </c>
      <c r="I72"/>
      <c r="J72"/>
      <c r="K72"/>
      <c r="L72" s="45" t="s">
        <v>28</v>
      </c>
      <c r="M72" s="109"/>
      <c r="N72" s="58"/>
      <c r="O72" s="58"/>
      <c r="P72" s="58"/>
      <c r="Q72" s="58"/>
      <c r="R72" s="58"/>
      <c r="S72"/>
      <c r="T72"/>
      <c r="U72"/>
      <c r="V72" s="30" t="s">
        <v>30</v>
      </c>
      <c r="W72" s="170">
        <v>803</v>
      </c>
      <c r="X72" s="170">
        <v>995</v>
      </c>
      <c r="Y72" s="170">
        <v>157</v>
      </c>
      <c r="Z72" s="112">
        <f>1</f>
        <v>1</v>
      </c>
      <c r="AA72" s="112">
        <f>4</f>
        <v>4</v>
      </c>
      <c r="AB72" s="57">
        <f t="shared" si="19"/>
        <v>1960</v>
      </c>
      <c r="AC72" s="53"/>
      <c r="AD72" s="53"/>
      <c r="AE72" s="54"/>
      <c r="AF72" s="30" t="s">
        <v>27</v>
      </c>
      <c r="AG72" s="195">
        <v>645</v>
      </c>
      <c r="AH72" s="95">
        <v>850</v>
      </c>
      <c r="AI72" s="95">
        <v>153</v>
      </c>
      <c r="AJ72" s="195">
        <v>16</v>
      </c>
      <c r="AK72" s="195">
        <v>12</v>
      </c>
      <c r="AL72" s="71">
        <f t="shared" ref="AL72:AL73" si="25">SUM(AG72:AK72)</f>
        <v>1676</v>
      </c>
      <c r="AM72"/>
      <c r="AN72"/>
      <c r="AO72"/>
      <c r="AP72" s="30" t="s">
        <v>31</v>
      </c>
      <c r="AQ72" s="58"/>
      <c r="AR72" s="58"/>
      <c r="AS72" s="58"/>
      <c r="AT72" s="58"/>
      <c r="AU72" s="58"/>
      <c r="AV72" s="58"/>
      <c r="AW72" s="53"/>
      <c r="AX72" s="53"/>
      <c r="AY72" s="54"/>
      <c r="AZ72" s="30" t="s">
        <v>30</v>
      </c>
      <c r="BA72" s="170">
        <v>569</v>
      </c>
      <c r="BB72" s="170">
        <f>862</f>
        <v>862</v>
      </c>
      <c r="BC72" s="170">
        <v>172</v>
      </c>
      <c r="BD72" s="170">
        <f>1+15</f>
        <v>16</v>
      </c>
      <c r="BE72" s="170">
        <f>95</f>
        <v>95</v>
      </c>
      <c r="BF72" s="57">
        <f>SUM(BA72:BE72)</f>
        <v>1714</v>
      </c>
      <c r="BG72" s="175"/>
      <c r="BH72"/>
      <c r="BI72"/>
    </row>
    <row r="73" spans="1:61" ht="14.65" customHeight="1" x14ac:dyDescent="0.2">
      <c r="A73" s="28">
        <v>20</v>
      </c>
      <c r="B73" s="30" t="s">
        <v>27</v>
      </c>
      <c r="C73" s="134">
        <v>999</v>
      </c>
      <c r="D73" s="134">
        <v>0</v>
      </c>
      <c r="E73" s="134">
        <v>173</v>
      </c>
      <c r="F73" s="134">
        <v>1</v>
      </c>
      <c r="G73" s="134">
        <v>0</v>
      </c>
      <c r="H73" s="134">
        <f t="shared" si="24"/>
        <v>1173</v>
      </c>
      <c r="I73"/>
      <c r="J73"/>
      <c r="K73"/>
      <c r="L73" s="45" t="s">
        <v>31</v>
      </c>
      <c r="M73" s="109"/>
      <c r="N73" s="58"/>
      <c r="O73" s="58"/>
      <c r="P73" s="58"/>
      <c r="Q73" s="58"/>
      <c r="R73" s="58"/>
      <c r="S73"/>
      <c r="T73"/>
      <c r="U73"/>
      <c r="V73" s="30" t="s">
        <v>32</v>
      </c>
      <c r="W73" s="57">
        <v>570</v>
      </c>
      <c r="X73" s="57">
        <v>767</v>
      </c>
      <c r="Y73" s="57">
        <v>163</v>
      </c>
      <c r="Z73" s="81">
        <v>2</v>
      </c>
      <c r="AA73" s="81">
        <v>51</v>
      </c>
      <c r="AB73" s="57">
        <f t="shared" si="19"/>
        <v>1553</v>
      </c>
      <c r="AC73" s="53"/>
      <c r="AD73" s="53"/>
      <c r="AE73" s="54"/>
      <c r="AF73" s="30" t="s">
        <v>24</v>
      </c>
      <c r="AG73" s="195">
        <v>0</v>
      </c>
      <c r="AH73" s="95">
        <v>707</v>
      </c>
      <c r="AI73" s="95">
        <v>145</v>
      </c>
      <c r="AJ73" s="195">
        <v>7</v>
      </c>
      <c r="AK73" s="195"/>
      <c r="AL73" s="71">
        <f t="shared" si="25"/>
        <v>859</v>
      </c>
      <c r="AM73"/>
      <c r="AN73"/>
      <c r="AO73"/>
      <c r="AP73" s="30" t="s">
        <v>26</v>
      </c>
      <c r="AQ73" s="57">
        <v>592</v>
      </c>
      <c r="AR73" s="57">
        <v>879</v>
      </c>
      <c r="AS73" s="57">
        <v>196</v>
      </c>
      <c r="AT73" s="57">
        <v>7</v>
      </c>
      <c r="AU73" s="57">
        <v>8</v>
      </c>
      <c r="AV73" s="170">
        <f>SUM(AQ73:AU73)</f>
        <v>1682</v>
      </c>
      <c r="AW73" s="53"/>
      <c r="AX73" s="53"/>
      <c r="AY73" s="54"/>
      <c r="AZ73" s="30" t="s">
        <v>32</v>
      </c>
      <c r="BA73" s="57">
        <v>464</v>
      </c>
      <c r="BB73" s="57">
        <v>594</v>
      </c>
      <c r="BC73" s="57">
        <v>121</v>
      </c>
      <c r="BD73" s="57">
        <f>8</f>
        <v>8</v>
      </c>
      <c r="BE73" s="57">
        <f>46</f>
        <v>46</v>
      </c>
      <c r="BF73" s="57">
        <f t="shared" si="18"/>
        <v>1233</v>
      </c>
      <c r="BG73"/>
      <c r="BH73"/>
      <c r="BI73"/>
    </row>
    <row r="74" spans="1:61" ht="14.65" customHeight="1" x14ac:dyDescent="0.2">
      <c r="A74" s="28">
        <v>21</v>
      </c>
      <c r="B74" s="30" t="s">
        <v>24</v>
      </c>
      <c r="C74" s="134">
        <v>572</v>
      </c>
      <c r="D74" s="134">
        <v>0</v>
      </c>
      <c r="E74" s="134">
        <v>128</v>
      </c>
      <c r="F74" s="134">
        <v>2</v>
      </c>
      <c r="G74" s="134">
        <v>0</v>
      </c>
      <c r="H74" s="134">
        <f>SUM((C74:G74))</f>
        <v>702</v>
      </c>
      <c r="I74"/>
      <c r="J74"/>
      <c r="K74"/>
      <c r="L74" s="45" t="s">
        <v>26</v>
      </c>
      <c r="M74" s="69">
        <v>282</v>
      </c>
      <c r="N74" s="57">
        <v>632</v>
      </c>
      <c r="O74" s="57">
        <v>117</v>
      </c>
      <c r="P74" s="57">
        <v>2</v>
      </c>
      <c r="Q74" s="57"/>
      <c r="R74" s="57">
        <f t="shared" si="22"/>
        <v>1033</v>
      </c>
      <c r="S74"/>
      <c r="T74"/>
      <c r="U74"/>
      <c r="V74" s="30" t="s">
        <v>27</v>
      </c>
      <c r="W74" s="57">
        <v>591</v>
      </c>
      <c r="X74" s="57">
        <v>910</v>
      </c>
      <c r="Y74" s="57">
        <v>200</v>
      </c>
      <c r="Z74" s="81">
        <v>1</v>
      </c>
      <c r="AA74" s="81">
        <v>64</v>
      </c>
      <c r="AB74" s="57">
        <f t="shared" si="19"/>
        <v>1766</v>
      </c>
      <c r="AC74" s="53"/>
      <c r="AD74" s="53"/>
      <c r="AE74" s="54"/>
      <c r="AF74" s="30" t="s">
        <v>28</v>
      </c>
      <c r="AG74" s="200"/>
      <c r="AH74" s="98"/>
      <c r="AI74" s="98"/>
      <c r="AJ74" s="200"/>
      <c r="AK74" s="200"/>
      <c r="AL74" s="88"/>
      <c r="AM74"/>
      <c r="AN74"/>
      <c r="AO74"/>
      <c r="AP74" s="30" t="s">
        <v>30</v>
      </c>
      <c r="AQ74" s="170">
        <v>780</v>
      </c>
      <c r="AR74" s="170">
        <v>1018</v>
      </c>
      <c r="AS74" s="170">
        <v>202</v>
      </c>
      <c r="AT74" s="170">
        <f>14</f>
        <v>14</v>
      </c>
      <c r="AU74" s="170">
        <f>1</f>
        <v>1</v>
      </c>
      <c r="AV74" s="170">
        <f>SUM(AQ74:AU74)</f>
        <v>2015</v>
      </c>
      <c r="AW74" s="53"/>
      <c r="AX74" s="53"/>
      <c r="AY74" s="54"/>
      <c r="AZ74" s="30" t="s">
        <v>27</v>
      </c>
      <c r="BA74" s="57">
        <v>400</v>
      </c>
      <c r="BB74" s="57">
        <v>641</v>
      </c>
      <c r="BC74" s="57">
        <v>147</v>
      </c>
      <c r="BD74" s="57">
        <f>1+8</f>
        <v>9</v>
      </c>
      <c r="BE74" s="57">
        <f>52+18</f>
        <v>70</v>
      </c>
      <c r="BF74" s="57">
        <f t="shared" si="18"/>
        <v>1267</v>
      </c>
      <c r="BG74"/>
      <c r="BH74"/>
      <c r="BI74"/>
    </row>
    <row r="75" spans="1:61" ht="14.65" customHeight="1" x14ac:dyDescent="0.2">
      <c r="A75" s="28">
        <v>22</v>
      </c>
      <c r="B75" s="30" t="s">
        <v>28</v>
      </c>
      <c r="C75" s="88"/>
      <c r="D75" s="88"/>
      <c r="E75" s="88"/>
      <c r="F75" s="88"/>
      <c r="G75" s="88"/>
      <c r="H75" s="88"/>
      <c r="I75"/>
      <c r="J75"/>
      <c r="K75"/>
      <c r="L75" s="45" t="s">
        <v>30</v>
      </c>
      <c r="M75" s="227">
        <v>429</v>
      </c>
      <c r="N75" s="170">
        <v>723</v>
      </c>
      <c r="O75" s="170">
        <v>124</v>
      </c>
      <c r="P75" s="170">
        <v>8</v>
      </c>
      <c r="Q75" s="170"/>
      <c r="R75" s="57">
        <f t="shared" si="22"/>
        <v>1284</v>
      </c>
      <c r="S75"/>
      <c r="T75"/>
      <c r="U75"/>
      <c r="V75" s="30" t="s">
        <v>24</v>
      </c>
      <c r="W75" s="57">
        <v>0</v>
      </c>
      <c r="X75" s="57">
        <v>740</v>
      </c>
      <c r="Y75" s="57">
        <v>171</v>
      </c>
      <c r="Z75" s="81">
        <v>9</v>
      </c>
      <c r="AA75" s="81"/>
      <c r="AB75" s="57">
        <f t="shared" si="19"/>
        <v>920</v>
      </c>
      <c r="AC75" s="53"/>
      <c r="AD75" s="53"/>
      <c r="AE75" s="54"/>
      <c r="AF75" s="30" t="s">
        <v>31</v>
      </c>
      <c r="AG75" s="200"/>
      <c r="AH75" s="98"/>
      <c r="AI75" s="98"/>
      <c r="AJ75" s="200"/>
      <c r="AK75" s="200"/>
      <c r="AL75" s="88"/>
      <c r="AM75"/>
      <c r="AN75"/>
      <c r="AO75"/>
      <c r="AP75" s="30" t="s">
        <v>32</v>
      </c>
      <c r="AQ75" s="57">
        <v>609</v>
      </c>
      <c r="AR75" s="57">
        <v>805</v>
      </c>
      <c r="AS75" s="57">
        <v>163</v>
      </c>
      <c r="AT75" s="57">
        <f>13</f>
        <v>13</v>
      </c>
      <c r="AU75" s="57">
        <v>9</v>
      </c>
      <c r="AV75" s="170">
        <f t="shared" ref="AV75:AV77" si="26">SUM(AQ75:AU75)</f>
        <v>1599</v>
      </c>
      <c r="AW75" s="53"/>
      <c r="AX75" s="53"/>
      <c r="AY75" s="54"/>
      <c r="AZ75" s="30" t="s">
        <v>24</v>
      </c>
      <c r="BA75" s="57">
        <v>333</v>
      </c>
      <c r="BB75" s="57"/>
      <c r="BC75" s="57">
        <v>91</v>
      </c>
      <c r="BD75" s="57"/>
      <c r="BE75" s="57"/>
      <c r="BF75" s="57">
        <f t="shared" si="18"/>
        <v>424</v>
      </c>
      <c r="BG75"/>
      <c r="BH75"/>
      <c r="BI75"/>
    </row>
    <row r="76" spans="1:61" ht="14.65" customHeight="1" x14ac:dyDescent="0.2">
      <c r="A76" s="28">
        <v>23</v>
      </c>
      <c r="B76" s="30" t="s">
        <v>31</v>
      </c>
      <c r="C76" s="88"/>
      <c r="D76" s="88"/>
      <c r="E76" s="88"/>
      <c r="F76" s="88"/>
      <c r="G76" s="88"/>
      <c r="H76" s="88"/>
      <c r="I76"/>
      <c r="J76"/>
      <c r="K76"/>
      <c r="L76" s="45" t="s">
        <v>32</v>
      </c>
      <c r="M76" s="69">
        <v>351</v>
      </c>
      <c r="N76" s="57">
        <v>590</v>
      </c>
      <c r="O76" s="57">
        <v>110</v>
      </c>
      <c r="P76" s="57">
        <v>7</v>
      </c>
      <c r="Q76" s="57"/>
      <c r="R76" s="57">
        <f t="shared" si="22"/>
        <v>1058</v>
      </c>
      <c r="S76"/>
      <c r="T76"/>
      <c r="U76"/>
      <c r="V76" s="30" t="s">
        <v>28</v>
      </c>
      <c r="W76" s="58"/>
      <c r="X76" s="58"/>
      <c r="Y76" s="58"/>
      <c r="Z76" s="186"/>
      <c r="AA76" s="186"/>
      <c r="AB76" s="58"/>
      <c r="AC76" s="53"/>
      <c r="AD76" s="53"/>
      <c r="AE76" s="54"/>
      <c r="AF76" s="30" t="s">
        <v>26</v>
      </c>
      <c r="AG76" s="195">
        <v>553</v>
      </c>
      <c r="AH76" s="95">
        <v>801</v>
      </c>
      <c r="AI76" s="95">
        <v>144</v>
      </c>
      <c r="AJ76" s="195">
        <v>11</v>
      </c>
      <c r="AK76" s="195">
        <v>0</v>
      </c>
      <c r="AL76" s="71">
        <f>SUM(AG76:AK76)</f>
        <v>1509</v>
      </c>
      <c r="AM76"/>
      <c r="AN76"/>
      <c r="AO76"/>
      <c r="AP76" s="30" t="s">
        <v>27</v>
      </c>
      <c r="AQ76" s="57">
        <v>680</v>
      </c>
      <c r="AR76" s="57">
        <v>938</v>
      </c>
      <c r="AS76" s="57">
        <v>182</v>
      </c>
      <c r="AT76" s="57">
        <v>13</v>
      </c>
      <c r="AU76" s="57">
        <v>19</v>
      </c>
      <c r="AV76" s="170">
        <f t="shared" si="26"/>
        <v>1832</v>
      </c>
      <c r="AW76" s="53"/>
      <c r="AX76" s="53"/>
      <c r="AY76" s="54"/>
      <c r="AZ76" s="30" t="s">
        <v>28</v>
      </c>
      <c r="BA76" s="58"/>
      <c r="BB76" s="58"/>
      <c r="BC76" s="58"/>
      <c r="BD76" s="58"/>
      <c r="BE76" s="58"/>
      <c r="BF76" s="58"/>
      <c r="BG76"/>
      <c r="BH76"/>
      <c r="BI76"/>
    </row>
    <row r="77" spans="1:61" ht="14.65" customHeight="1" x14ac:dyDescent="0.2">
      <c r="A77" s="28">
        <v>24</v>
      </c>
      <c r="B77" s="30" t="s">
        <v>26</v>
      </c>
      <c r="C77" s="134">
        <v>427</v>
      </c>
      <c r="D77" s="134">
        <v>637</v>
      </c>
      <c r="E77" s="134">
        <v>130</v>
      </c>
      <c r="F77" s="134">
        <v>6</v>
      </c>
      <c r="G77" s="134">
        <v>0</v>
      </c>
      <c r="H77" s="134">
        <f>SUM(C77:G77)</f>
        <v>1200</v>
      </c>
      <c r="I77"/>
      <c r="J77"/>
      <c r="K77"/>
      <c r="L77" s="45" t="s">
        <v>27</v>
      </c>
      <c r="M77" s="69">
        <v>365</v>
      </c>
      <c r="N77" s="57">
        <v>649</v>
      </c>
      <c r="O77" s="57">
        <v>121</v>
      </c>
      <c r="P77" s="57">
        <v>7</v>
      </c>
      <c r="Q77" s="57"/>
      <c r="R77" s="57">
        <f t="shared" si="22"/>
        <v>1142</v>
      </c>
      <c r="S77"/>
      <c r="T77"/>
      <c r="U77"/>
      <c r="V77" s="30" t="s">
        <v>31</v>
      </c>
      <c r="W77" s="58"/>
      <c r="X77" s="58"/>
      <c r="Y77" s="58"/>
      <c r="Z77" s="186"/>
      <c r="AA77" s="186"/>
      <c r="AB77" s="58"/>
      <c r="AC77" s="53"/>
      <c r="AD77" s="53"/>
      <c r="AE77" s="54"/>
      <c r="AF77" s="30" t="s">
        <v>30</v>
      </c>
      <c r="AG77" s="199">
        <v>690</v>
      </c>
      <c r="AH77" s="174">
        <v>847</v>
      </c>
      <c r="AI77" s="174">
        <v>182</v>
      </c>
      <c r="AJ77" s="199">
        <v>7</v>
      </c>
      <c r="AK77" s="199">
        <v>15</v>
      </c>
      <c r="AL77" s="71">
        <f>SUM(AG77:AK77)</f>
        <v>1741</v>
      </c>
      <c r="AM77"/>
      <c r="AN77"/>
      <c r="AO77"/>
      <c r="AP77" s="30" t="s">
        <v>24</v>
      </c>
      <c r="AQ77" s="57">
        <v>720</v>
      </c>
      <c r="AR77" s="57">
        <v>0</v>
      </c>
      <c r="AS77" s="57">
        <v>134</v>
      </c>
      <c r="AT77" s="57">
        <v>6</v>
      </c>
      <c r="AU77" s="57">
        <v>0</v>
      </c>
      <c r="AV77" s="170">
        <f t="shared" si="26"/>
        <v>860</v>
      </c>
      <c r="AW77" s="53"/>
      <c r="AX77" s="53"/>
      <c r="AY77" s="54"/>
      <c r="AZ77" s="30" t="s">
        <v>31</v>
      </c>
      <c r="BA77" s="58"/>
      <c r="BB77" s="58"/>
      <c r="BC77" s="58"/>
      <c r="BD77" s="58"/>
      <c r="BE77" s="58"/>
      <c r="BF77" s="58"/>
      <c r="BG77"/>
      <c r="BH77"/>
      <c r="BI77"/>
    </row>
    <row r="78" spans="1:61" ht="14.65" customHeight="1" x14ac:dyDescent="0.2">
      <c r="A78" s="28">
        <v>25</v>
      </c>
      <c r="B78" s="30" t="s">
        <v>30</v>
      </c>
      <c r="C78" s="71">
        <v>510</v>
      </c>
      <c r="D78" s="71">
        <v>792</v>
      </c>
      <c r="E78" s="71">
        <v>142</v>
      </c>
      <c r="F78" s="71">
        <v>7</v>
      </c>
      <c r="G78" s="71"/>
      <c r="H78" s="134">
        <f t="shared" si="24"/>
        <v>1451</v>
      </c>
      <c r="I78"/>
      <c r="J78"/>
      <c r="K78"/>
      <c r="L78" s="45" t="s">
        <v>24</v>
      </c>
      <c r="M78" s="69">
        <v>0</v>
      </c>
      <c r="N78" s="57">
        <v>463</v>
      </c>
      <c r="O78" s="57">
        <v>99</v>
      </c>
      <c r="P78" s="57">
        <v>5</v>
      </c>
      <c r="Q78" s="57"/>
      <c r="R78" s="57">
        <f t="shared" si="22"/>
        <v>567</v>
      </c>
      <c r="S78"/>
      <c r="T78"/>
      <c r="U78"/>
      <c r="V78" s="30" t="s">
        <v>26</v>
      </c>
      <c r="W78" s="57">
        <v>550</v>
      </c>
      <c r="X78" s="57">
        <v>921</v>
      </c>
      <c r="Y78" s="57">
        <v>194</v>
      </c>
      <c r="Z78" s="81">
        <v>9</v>
      </c>
      <c r="AA78" s="81">
        <v>24</v>
      </c>
      <c r="AB78" s="57">
        <f t="shared" si="19"/>
        <v>1698</v>
      </c>
      <c r="AC78" s="53"/>
      <c r="AD78" s="53"/>
      <c r="AE78" s="54"/>
      <c r="AF78" s="30" t="s">
        <v>32</v>
      </c>
      <c r="AG78" s="195">
        <v>525</v>
      </c>
      <c r="AH78" s="95">
        <v>737</v>
      </c>
      <c r="AI78" s="95">
        <v>164</v>
      </c>
      <c r="AJ78" s="195">
        <v>4</v>
      </c>
      <c r="AK78" s="195">
        <v>0</v>
      </c>
      <c r="AL78" s="71">
        <f t="shared" ref="AL78:AL80" si="27">SUM(AG78:AK78)</f>
        <v>1430</v>
      </c>
      <c r="AM78"/>
      <c r="AN78"/>
      <c r="AO78"/>
      <c r="AP78" s="30" t="s">
        <v>28</v>
      </c>
      <c r="AQ78" s="58"/>
      <c r="AR78" s="58"/>
      <c r="AS78" s="58"/>
      <c r="AT78" s="58"/>
      <c r="AU78" s="58"/>
      <c r="AV78" s="58"/>
      <c r="AW78" s="53"/>
      <c r="AX78" s="53"/>
      <c r="AY78" s="54"/>
      <c r="AZ78" s="30" t="s">
        <v>26</v>
      </c>
      <c r="BA78" s="155" t="s">
        <v>45</v>
      </c>
      <c r="BB78"/>
      <c r="BC78"/>
      <c r="BD78"/>
      <c r="BE78"/>
      <c r="BF78"/>
      <c r="BG78"/>
      <c r="BH78"/>
      <c r="BI78"/>
    </row>
    <row r="79" spans="1:61" ht="14.65" customHeight="1" x14ac:dyDescent="0.2">
      <c r="A79" s="28">
        <v>26</v>
      </c>
      <c r="B79" s="30" t="s">
        <v>32</v>
      </c>
      <c r="C79" s="134">
        <v>422</v>
      </c>
      <c r="D79" s="134">
        <v>638</v>
      </c>
      <c r="E79" s="134">
        <v>129</v>
      </c>
      <c r="F79" s="134">
        <f>1+5</f>
        <v>6</v>
      </c>
      <c r="G79" s="134"/>
      <c r="H79" s="134">
        <f t="shared" si="24"/>
        <v>1195</v>
      </c>
      <c r="I79"/>
      <c r="J79"/>
      <c r="K79"/>
      <c r="L79" s="45" t="s">
        <v>28</v>
      </c>
      <c r="M79" s="109"/>
      <c r="N79" s="58"/>
      <c r="O79" s="58"/>
      <c r="P79" s="58"/>
      <c r="Q79" s="58"/>
      <c r="R79" s="58"/>
      <c r="S79"/>
      <c r="T79"/>
      <c r="U79"/>
      <c r="V79" s="30" t="s">
        <v>30</v>
      </c>
      <c r="W79" s="170">
        <v>726</v>
      </c>
      <c r="X79" s="170">
        <v>1031</v>
      </c>
      <c r="Y79" s="170">
        <v>172</v>
      </c>
      <c r="Z79" s="112">
        <v>11</v>
      </c>
      <c r="AA79" s="112">
        <v>9</v>
      </c>
      <c r="AB79" s="57">
        <f t="shared" si="19"/>
        <v>1949</v>
      </c>
      <c r="AC79" s="53"/>
      <c r="AD79" s="53"/>
      <c r="AE79" s="54"/>
      <c r="AF79" s="30" t="s">
        <v>27</v>
      </c>
      <c r="AG79" s="195">
        <v>531</v>
      </c>
      <c r="AH79" s="95">
        <v>762</v>
      </c>
      <c r="AI79" s="95">
        <v>176</v>
      </c>
      <c r="AJ79" s="195">
        <v>9</v>
      </c>
      <c r="AK79" s="195">
        <v>0</v>
      </c>
      <c r="AL79" s="71">
        <f t="shared" si="27"/>
        <v>1478</v>
      </c>
      <c r="AM79"/>
      <c r="AN79"/>
      <c r="AO79"/>
      <c r="AP79" s="30" t="s">
        <v>31</v>
      </c>
      <c r="AQ79" s="58"/>
      <c r="AR79" s="58"/>
      <c r="AS79" s="58"/>
      <c r="AT79" s="58"/>
      <c r="AU79" s="58"/>
      <c r="AV79" s="58"/>
      <c r="AW79" s="53"/>
      <c r="AX79" s="53"/>
      <c r="AY79" s="54"/>
      <c r="AZ79" s="30" t="s">
        <v>30</v>
      </c>
      <c r="BA79" s="155" t="s">
        <v>65</v>
      </c>
      <c r="BB79" s="155"/>
      <c r="BC79" s="155"/>
      <c r="BD79" s="155"/>
      <c r="BE79" s="155"/>
      <c r="BF79" s="155"/>
      <c r="BG79"/>
      <c r="BH79"/>
      <c r="BI79"/>
    </row>
    <row r="80" spans="1:61" ht="14.65" customHeight="1" x14ac:dyDescent="0.2">
      <c r="A80" s="28">
        <v>27</v>
      </c>
      <c r="B80" s="30" t="s">
        <v>27</v>
      </c>
      <c r="C80" s="134">
        <v>410</v>
      </c>
      <c r="D80" s="134">
        <v>681</v>
      </c>
      <c r="E80" s="134">
        <v>121</v>
      </c>
      <c r="F80" s="134">
        <v>5</v>
      </c>
      <c r="G80" s="134">
        <v>10</v>
      </c>
      <c r="H80" s="134">
        <f t="shared" si="24"/>
        <v>1227</v>
      </c>
      <c r="I80"/>
      <c r="J80"/>
      <c r="K80"/>
      <c r="L80" s="45" t="s">
        <v>31</v>
      </c>
      <c r="M80" s="109"/>
      <c r="N80" s="58"/>
      <c r="O80" s="58"/>
      <c r="P80" s="58"/>
      <c r="Q80" s="58"/>
      <c r="R80" s="58"/>
      <c r="S80"/>
      <c r="T80"/>
      <c r="U80"/>
      <c r="V80" s="30" t="s">
        <v>32</v>
      </c>
      <c r="W80" s="57">
        <v>573</v>
      </c>
      <c r="X80" s="57">
        <v>811</v>
      </c>
      <c r="Y80" s="57">
        <v>174</v>
      </c>
      <c r="Z80" s="81">
        <v>9</v>
      </c>
      <c r="AA80" s="81">
        <f>36+26</f>
        <v>62</v>
      </c>
      <c r="AB80" s="57">
        <f t="shared" si="19"/>
        <v>1629</v>
      </c>
      <c r="AC80" s="53"/>
      <c r="AD80" s="53"/>
      <c r="AE80" s="54"/>
      <c r="AF80" s="30" t="s">
        <v>24</v>
      </c>
      <c r="AG80" s="195">
        <v>569</v>
      </c>
      <c r="AH80" s="95">
        <v>0</v>
      </c>
      <c r="AI80" s="95">
        <v>136</v>
      </c>
      <c r="AJ80" s="195">
        <v>1</v>
      </c>
      <c r="AK80" s="195">
        <v>29</v>
      </c>
      <c r="AL80" s="71">
        <f t="shared" si="27"/>
        <v>735</v>
      </c>
      <c r="AM80"/>
      <c r="AN80"/>
      <c r="AO80"/>
      <c r="AP80" s="30" t="s">
        <v>26</v>
      </c>
      <c r="AQ80" s="57">
        <v>609</v>
      </c>
      <c r="AR80" s="57">
        <v>872</v>
      </c>
      <c r="AS80" s="57">
        <v>176</v>
      </c>
      <c r="AT80" s="57">
        <v>10</v>
      </c>
      <c r="AU80" s="57">
        <f>6+4+8+7</f>
        <v>25</v>
      </c>
      <c r="AV80" s="170">
        <f>SUM(AQ80:AU80)</f>
        <v>1692</v>
      </c>
      <c r="AW80" s="53"/>
      <c r="AX80" s="53"/>
      <c r="AY80" s="54"/>
      <c r="AZ80" s="30" t="s">
        <v>32</v>
      </c>
      <c r="BA80" s="57">
        <v>333</v>
      </c>
      <c r="BB80" s="177">
        <v>0</v>
      </c>
      <c r="BC80" s="57">
        <v>76</v>
      </c>
      <c r="BD80" s="57"/>
      <c r="BE80" s="57"/>
      <c r="BF80" s="170">
        <f t="shared" ref="BF80:BF82" si="28">SUM(BB80:BE80)</f>
        <v>76</v>
      </c>
      <c r="BG80"/>
      <c r="BH80"/>
      <c r="BI80"/>
    </row>
    <row r="81" spans="1:61" ht="14.65" customHeight="1" x14ac:dyDescent="0.2">
      <c r="A81" s="28">
        <v>28</v>
      </c>
      <c r="B81" s="30" t="s">
        <v>24</v>
      </c>
      <c r="C81" s="134">
        <v>0</v>
      </c>
      <c r="D81" s="134">
        <v>539</v>
      </c>
      <c r="E81" s="134">
        <v>103</v>
      </c>
      <c r="F81" s="134">
        <v>5</v>
      </c>
      <c r="G81" s="134"/>
      <c r="H81" s="134">
        <f>SUM((C81:G81))</f>
        <v>647</v>
      </c>
      <c r="I81"/>
      <c r="J81"/>
      <c r="K81"/>
      <c r="L81" s="45" t="s">
        <v>26</v>
      </c>
      <c r="M81" s="69">
        <v>408</v>
      </c>
      <c r="N81" s="57">
        <v>733</v>
      </c>
      <c r="O81" s="57">
        <v>147</v>
      </c>
      <c r="P81" s="57">
        <v>5</v>
      </c>
      <c r="Q81" s="57"/>
      <c r="R81" s="57">
        <f t="shared" si="22"/>
        <v>1293</v>
      </c>
      <c r="S81"/>
      <c r="T81"/>
      <c r="U81"/>
      <c r="V81" s="30" t="s">
        <v>27</v>
      </c>
      <c r="W81" s="57">
        <v>634</v>
      </c>
      <c r="X81" s="57">
        <v>822</v>
      </c>
      <c r="Y81" s="57">
        <v>163</v>
      </c>
      <c r="Z81" s="81">
        <f>12+2</f>
        <v>14</v>
      </c>
      <c r="AA81" s="81">
        <f>17+7</f>
        <v>24</v>
      </c>
      <c r="AB81" s="57">
        <f t="shared" si="19"/>
        <v>1657</v>
      </c>
      <c r="AC81" s="53"/>
      <c r="AD81" s="53"/>
      <c r="AE81" s="54"/>
      <c r="AF81" s="30" t="s">
        <v>28</v>
      </c>
      <c r="AG81" s="200"/>
      <c r="AH81" s="98"/>
      <c r="AI81" s="98"/>
      <c r="AJ81" s="200"/>
      <c r="AK81" s="200"/>
      <c r="AL81" s="88"/>
      <c r="AM81"/>
      <c r="AN81"/>
      <c r="AO81"/>
      <c r="AP81" s="30" t="s">
        <v>30</v>
      </c>
      <c r="AQ81" s="170">
        <v>786</v>
      </c>
      <c r="AR81" s="170">
        <v>973</v>
      </c>
      <c r="AS81" s="170">
        <v>202</v>
      </c>
      <c r="AT81" s="170">
        <f>15+3</f>
        <v>18</v>
      </c>
      <c r="AU81" s="170">
        <f>1+6+8+42+20</f>
        <v>77</v>
      </c>
      <c r="AV81" s="170">
        <f>SUM(AQ81:AU81)</f>
        <v>2056</v>
      </c>
      <c r="AW81" s="53"/>
      <c r="AX81" s="53"/>
      <c r="AY81" s="54"/>
      <c r="AZ81" s="36" t="s">
        <v>27</v>
      </c>
      <c r="BA81" s="57">
        <v>375</v>
      </c>
      <c r="BB81" s="177">
        <v>0</v>
      </c>
      <c r="BC81" s="57">
        <v>77</v>
      </c>
      <c r="BD81" s="57">
        <v>1</v>
      </c>
      <c r="BE81" s="57"/>
      <c r="BF81" s="170">
        <f t="shared" si="28"/>
        <v>78</v>
      </c>
      <c r="BG81"/>
      <c r="BH81"/>
      <c r="BI81"/>
    </row>
    <row r="82" spans="1:61" ht="14.65" customHeight="1" x14ac:dyDescent="0.2">
      <c r="A82" s="28">
        <v>29</v>
      </c>
      <c r="B82" s="30" t="s">
        <v>28</v>
      </c>
      <c r="C82" s="88"/>
      <c r="D82" s="88"/>
      <c r="E82" s="88"/>
      <c r="F82" s="88"/>
      <c r="G82" s="88"/>
      <c r="H82" s="88"/>
      <c r="I82"/>
      <c r="J82"/>
      <c r="K82"/>
      <c r="L82" s="45" t="s">
        <v>30</v>
      </c>
      <c r="M82" s="227">
        <v>527</v>
      </c>
      <c r="N82" s="170">
        <v>873</v>
      </c>
      <c r="O82" s="170">
        <v>142</v>
      </c>
      <c r="P82" s="170">
        <v>6</v>
      </c>
      <c r="Q82" s="170"/>
      <c r="R82" s="57">
        <f t="shared" si="22"/>
        <v>1548</v>
      </c>
      <c r="S82"/>
      <c r="T82"/>
      <c r="U82"/>
      <c r="V82" s="30" t="s">
        <v>24</v>
      </c>
      <c r="W82" s="57">
        <v>682</v>
      </c>
      <c r="X82" s="57">
        <v>0</v>
      </c>
      <c r="Y82" s="57">
        <v>131</v>
      </c>
      <c r="Z82" s="81">
        <v>0</v>
      </c>
      <c r="AA82" s="81">
        <v>28</v>
      </c>
      <c r="AB82" s="57">
        <f t="shared" si="19"/>
        <v>841</v>
      </c>
      <c r="AC82" s="53"/>
      <c r="AD82" s="53"/>
      <c r="AE82" s="54"/>
      <c r="AF82" s="30" t="s">
        <v>31</v>
      </c>
      <c r="AG82" s="200"/>
      <c r="AH82" s="98"/>
      <c r="AI82" s="98"/>
      <c r="AJ82" s="200"/>
      <c r="AK82" s="200"/>
      <c r="AL82" s="88"/>
      <c r="AM82"/>
      <c r="AN82"/>
      <c r="AO82"/>
      <c r="AP82" s="30" t="s">
        <v>32</v>
      </c>
      <c r="AQ82" s="57">
        <v>563</v>
      </c>
      <c r="AR82" s="57">
        <v>700</v>
      </c>
      <c r="AS82" s="57">
        <v>169</v>
      </c>
      <c r="AT82" s="57">
        <v>12</v>
      </c>
      <c r="AU82" s="57">
        <f>10+8+4+6+7</f>
        <v>35</v>
      </c>
      <c r="AV82" s="170">
        <f t="shared" ref="AV82:AV83" si="29">SUM(AQ82:AU82)</f>
        <v>1479</v>
      </c>
      <c r="AW82" s="53"/>
      <c r="AX82" s="53"/>
      <c r="AY82" s="54"/>
      <c r="AZ82" s="30" t="s">
        <v>24</v>
      </c>
      <c r="BA82" s="57">
        <v>194</v>
      </c>
      <c r="BB82" s="178"/>
      <c r="BC82" s="57">
        <v>62</v>
      </c>
      <c r="BD82" s="57"/>
      <c r="BE82" s="57"/>
      <c r="BF82" s="170">
        <f t="shared" si="28"/>
        <v>62</v>
      </c>
      <c r="BG82"/>
      <c r="BH82"/>
      <c r="BI82"/>
    </row>
    <row r="83" spans="1:61" ht="14.65" customHeight="1" x14ac:dyDescent="0.2">
      <c r="A83" s="28">
        <v>30</v>
      </c>
      <c r="B83" s="30" t="s">
        <v>31</v>
      </c>
      <c r="C83" s="88"/>
      <c r="D83" s="88"/>
      <c r="E83" s="88"/>
      <c r="F83" s="88"/>
      <c r="G83" s="88"/>
      <c r="H83" s="88"/>
      <c r="I83"/>
      <c r="J83"/>
      <c r="K83"/>
      <c r="L83" s="45" t="s">
        <v>32</v>
      </c>
      <c r="M83" s="69">
        <v>479</v>
      </c>
      <c r="N83" s="57">
        <v>713</v>
      </c>
      <c r="O83" s="57">
        <v>140</v>
      </c>
      <c r="P83" s="57">
        <v>8</v>
      </c>
      <c r="Q83" s="57"/>
      <c r="R83" s="57">
        <f t="shared" si="22"/>
        <v>1340</v>
      </c>
      <c r="S83"/>
      <c r="T83"/>
      <c r="U83"/>
      <c r="V83" s="30" t="s">
        <v>28</v>
      </c>
      <c r="W83" s="58"/>
      <c r="X83" s="58"/>
      <c r="Y83" s="58"/>
      <c r="Z83" s="186"/>
      <c r="AA83" s="186"/>
      <c r="AB83" s="58"/>
      <c r="AC83" s="53"/>
      <c r="AD83" s="53"/>
      <c r="AE83" s="54"/>
      <c r="AF83" s="30" t="s">
        <v>26</v>
      </c>
      <c r="AG83" s="195">
        <v>469</v>
      </c>
      <c r="AH83" s="95">
        <v>566</v>
      </c>
      <c r="AI83" s="95">
        <v>135</v>
      </c>
      <c r="AJ83" s="195">
        <v>9</v>
      </c>
      <c r="AK83" s="195">
        <v>0</v>
      </c>
      <c r="AL83" s="195">
        <f>SUM(AG83:AK83)</f>
        <v>1179</v>
      </c>
      <c r="AM83"/>
      <c r="AN83"/>
      <c r="AO83"/>
      <c r="AP83" s="30" t="s">
        <v>27</v>
      </c>
      <c r="AQ83" s="57">
        <v>563</v>
      </c>
      <c r="AR83" s="57">
        <v>886</v>
      </c>
      <c r="AS83" s="57">
        <v>167</v>
      </c>
      <c r="AT83" s="57">
        <v>16</v>
      </c>
      <c r="AU83" s="57">
        <f>4+29+16</f>
        <v>49</v>
      </c>
      <c r="AV83" s="170">
        <f t="shared" si="29"/>
        <v>1681</v>
      </c>
      <c r="AW83" s="53"/>
      <c r="AX83" s="53"/>
      <c r="AY83" s="54"/>
      <c r="AZ83" s="30" t="s">
        <v>28</v>
      </c>
      <c r="BA83" s="58"/>
      <c r="BB83" s="58"/>
      <c r="BC83" s="58"/>
      <c r="BD83" s="58"/>
      <c r="BE83" s="58"/>
      <c r="BF83" s="58"/>
      <c r="BG83"/>
      <c r="BH83"/>
      <c r="BI83"/>
    </row>
    <row r="84" spans="1:61" ht="13.5" customHeight="1" x14ac:dyDescent="0.2">
      <c r="A84" s="39">
        <v>31</v>
      </c>
      <c r="B84" s="30" t="s">
        <v>26</v>
      </c>
      <c r="C84" s="134">
        <v>0</v>
      </c>
      <c r="D84" s="134">
        <v>846</v>
      </c>
      <c r="E84" s="134">
        <v>119</v>
      </c>
      <c r="F84" s="134">
        <v>4</v>
      </c>
      <c r="G84" s="134"/>
      <c r="H84" s="134">
        <f>SUM(C84:G84)</f>
        <v>969</v>
      </c>
      <c r="I84"/>
      <c r="J84"/>
      <c r="K84"/>
      <c r="L84" s="45" t="s">
        <v>27</v>
      </c>
      <c r="M84" s="69">
        <v>496</v>
      </c>
      <c r="N84" s="57">
        <v>742</v>
      </c>
      <c r="O84" s="57">
        <v>147</v>
      </c>
      <c r="P84" s="57">
        <v>6</v>
      </c>
      <c r="Q84" s="57"/>
      <c r="R84" s="57">
        <f>SUM((M84:Q84))</f>
        <v>1391</v>
      </c>
      <c r="S84" s="64"/>
      <c r="T84" s="64"/>
      <c r="U84" s="64"/>
      <c r="V84" s="30"/>
      <c r="W84" s="57"/>
      <c r="X84" s="57"/>
      <c r="Y84" s="57"/>
      <c r="Z84" s="81"/>
      <c r="AA84" s="81"/>
      <c r="AB84" s="57"/>
      <c r="AC84" s="66"/>
      <c r="AD84" s="66"/>
      <c r="AE84" s="67"/>
      <c r="AF84" s="30" t="s">
        <v>30</v>
      </c>
      <c r="AG84" s="195">
        <v>514</v>
      </c>
      <c r="AH84" s="95">
        <v>553</v>
      </c>
      <c r="AI84" s="95">
        <v>128</v>
      </c>
      <c r="AJ84" s="195">
        <v>4</v>
      </c>
      <c r="AK84" s="195">
        <v>0</v>
      </c>
      <c r="AL84" s="134">
        <f>SUM(AG84:AK84)</f>
        <v>1199</v>
      </c>
      <c r="AM84"/>
      <c r="AN84"/>
      <c r="AO84"/>
      <c r="AP84" s="47"/>
      <c r="AQ84" s="57"/>
      <c r="AR84" s="57"/>
      <c r="AS84" s="57"/>
      <c r="AT84" s="57">
        <f>SUM(AT55:AT83)</f>
        <v>223</v>
      </c>
      <c r="AU84" s="57"/>
      <c r="AV84" s="170"/>
      <c r="AW84" s="66"/>
      <c r="AX84" s="66"/>
      <c r="AY84" s="67"/>
      <c r="AZ84" s="30" t="s">
        <v>31</v>
      </c>
      <c r="BA84" s="58"/>
      <c r="BB84" s="58"/>
      <c r="BC84" s="58"/>
      <c r="BD84" s="58"/>
      <c r="BE84" s="58"/>
      <c r="BF84" s="58"/>
      <c r="BG84"/>
      <c r="BH84"/>
      <c r="BI84"/>
    </row>
    <row r="85" spans="1:61" ht="14.25" customHeight="1" x14ac:dyDescent="0.2">
      <c r="A85" s="152" t="s">
        <v>34</v>
      </c>
      <c r="B85"/>
      <c r="C85" s="136">
        <f>SUM(C54:C84)</f>
        <v>15696</v>
      </c>
      <c r="D85" s="136">
        <f t="shared" ref="D85" si="30">SUM(D54:D84)</f>
        <v>4133</v>
      </c>
      <c r="E85" s="136">
        <f>SUM(E54:E84)</f>
        <v>2968</v>
      </c>
      <c r="F85" s="136">
        <f>SUM(F54:F84)</f>
        <v>53</v>
      </c>
      <c r="G85" s="136">
        <f>SUM(G54:G84)</f>
        <v>95</v>
      </c>
      <c r="H85" s="134">
        <f>SUM((C85:G85))</f>
        <v>22945</v>
      </c>
      <c r="I85" s="137"/>
      <c r="J85" s="137"/>
      <c r="K85" s="137"/>
      <c r="L85" s="152" t="s">
        <v>34</v>
      </c>
      <c r="M85" s="68">
        <f>SUM(M54:M84)</f>
        <v>3337</v>
      </c>
      <c r="N85" s="68">
        <f>SUM(N54:N84)</f>
        <v>14389</v>
      </c>
      <c r="O85" s="68">
        <f>SUM(O54:O84)</f>
        <v>2416</v>
      </c>
      <c r="P85" s="68">
        <f>SUM(P54:P84)</f>
        <v>104</v>
      </c>
      <c r="Q85" s="68">
        <f>SUM(Q54:Q84)</f>
        <v>0</v>
      </c>
      <c r="R85" s="57">
        <f>SUM(M85:Q85)</f>
        <v>20246</v>
      </c>
      <c r="S85" s="69"/>
      <c r="T85" s="69"/>
      <c r="U85" s="69"/>
      <c r="V85" s="152" t="s">
        <v>34</v>
      </c>
      <c r="W85" s="68">
        <f>SUM(W54:W84)</f>
        <v>12220</v>
      </c>
      <c r="X85" s="68">
        <f>SUM(X54:X84)</f>
        <v>15874</v>
      </c>
      <c r="Y85" s="68">
        <f>SUM(Y54:Y84)</f>
        <v>3491</v>
      </c>
      <c r="Z85" s="68">
        <f t="shared" ref="Z85:AA85" si="31">SUM(Z54:Z84)</f>
        <v>149</v>
      </c>
      <c r="AA85" s="68">
        <f t="shared" si="31"/>
        <v>409</v>
      </c>
      <c r="AB85" s="57">
        <f t="shared" si="19"/>
        <v>32143</v>
      </c>
      <c r="AC85" s="69"/>
      <c r="AD85" s="69"/>
      <c r="AE85" s="69"/>
      <c r="AF85" s="152" t="s">
        <v>34</v>
      </c>
      <c r="AG85" s="95">
        <f>SUM(AG54:AG84)</f>
        <v>12698</v>
      </c>
      <c r="AH85" s="95">
        <f>SUM(AH54:AH84)</f>
        <v>15239</v>
      </c>
      <c r="AI85" s="95">
        <f>SUM(AI54:AI84)</f>
        <v>3596</v>
      </c>
      <c r="AJ85" s="195">
        <f>SUM(AJ54:AJ84)</f>
        <v>188</v>
      </c>
      <c r="AK85" s="195">
        <f>SUM(AK54:AK84)</f>
        <v>366</v>
      </c>
      <c r="AL85" s="229">
        <f>AG85+AH85+AI85+AJ85+AK85</f>
        <v>32087</v>
      </c>
      <c r="AM85" s="137"/>
      <c r="AN85" s="137"/>
      <c r="AO85" s="137"/>
      <c r="AP85" s="152" t="s">
        <v>34</v>
      </c>
      <c r="AQ85" s="203">
        <f>+AQ83+AQ82+AQ81+AQ80+AQ77+AQ76+AQ75+AQ74+AQ73+AQ70+AQ69+AQ68+AQ67+AQ66+AQ63+AQ62+AQ61+AQ60+AQ59+AQ56+AQ55</f>
        <v>12017</v>
      </c>
      <c r="AR85" s="68">
        <f t="shared" ref="AR85:AU85" si="32">SUM(AR54:AR84)</f>
        <v>16039</v>
      </c>
      <c r="AS85" s="68">
        <f t="shared" si="32"/>
        <v>3621</v>
      </c>
      <c r="AT85" s="68">
        <f>AT84/2</f>
        <v>111.5</v>
      </c>
      <c r="AU85" s="68">
        <f t="shared" si="32"/>
        <v>379</v>
      </c>
      <c r="AV85" s="170">
        <f>SUM(AQ85:AU85)</f>
        <v>32167.5</v>
      </c>
      <c r="AW85" s="69"/>
      <c r="AX85" s="69"/>
      <c r="AY85" s="69"/>
      <c r="AZ85" s="152" t="s">
        <v>34</v>
      </c>
      <c r="BA85" s="216">
        <f>SUM(BA54:BA84)</f>
        <v>8966</v>
      </c>
      <c r="BB85" s="68">
        <f>SUM(BB54:BB84)</f>
        <v>11268</v>
      </c>
      <c r="BC85" s="68">
        <f>SUM(BC54:BC84)</f>
        <v>2896</v>
      </c>
      <c r="BD85" s="68">
        <f>SUM(BD54:BD84)</f>
        <v>147</v>
      </c>
      <c r="BE85" s="232">
        <f>SUM(BE54:BE84)</f>
        <v>516</v>
      </c>
      <c r="BF85" s="69">
        <f>BA85+BB85+BC85+BD85+BE85</f>
        <v>23793</v>
      </c>
      <c r="BG85" s="69"/>
      <c r="BH85" s="69"/>
      <c r="BI85" s="69"/>
    </row>
    <row r="86" spans="1:61" ht="12.75" customHeight="1" x14ac:dyDescent="0.2">
      <c r="A86" s="152" t="s">
        <v>1</v>
      </c>
      <c r="B86"/>
      <c r="C86" s="137">
        <v>20</v>
      </c>
      <c r="D86"/>
      <c r="E86"/>
      <c r="F86"/>
      <c r="G86"/>
      <c r="H86"/>
      <c r="I86"/>
      <c r="J86"/>
      <c r="K86"/>
      <c r="L86" s="357" t="s">
        <v>1</v>
      </c>
      <c r="M86" s="69">
        <v>22</v>
      </c>
      <c r="N86"/>
      <c r="O86"/>
      <c r="P86"/>
      <c r="Q86"/>
      <c r="R86"/>
      <c r="S86"/>
      <c r="T86"/>
      <c r="U86"/>
      <c r="V86" s="41" t="s">
        <v>1</v>
      </c>
      <c r="W86" s="69">
        <v>21</v>
      </c>
      <c r="X86"/>
      <c r="Y86"/>
      <c r="Z86"/>
      <c r="AA86"/>
      <c r="AB86"/>
      <c r="AC86"/>
      <c r="AD86"/>
      <c r="AE86"/>
      <c r="AF86" s="41" t="s">
        <v>1</v>
      </c>
      <c r="AG86" s="137">
        <v>22</v>
      </c>
      <c r="AH86"/>
      <c r="AI86"/>
      <c r="AJ86"/>
      <c r="AK86"/>
      <c r="AL86"/>
      <c r="AM86"/>
      <c r="AN86"/>
      <c r="AO86"/>
      <c r="AP86" s="41" t="s">
        <v>1</v>
      </c>
      <c r="AQ86" s="69">
        <v>21</v>
      </c>
      <c r="AR86"/>
      <c r="AS86"/>
      <c r="AT86"/>
      <c r="AU86"/>
      <c r="AV86"/>
      <c r="AW86"/>
      <c r="AX86"/>
      <c r="AY86"/>
      <c r="AZ86" s="41" t="s">
        <v>1</v>
      </c>
      <c r="BA86" s="69">
        <v>20</v>
      </c>
      <c r="BB86"/>
      <c r="BC86"/>
      <c r="BD86"/>
      <c r="BE86"/>
      <c r="BF86"/>
      <c r="BG86"/>
      <c r="BH86"/>
      <c r="BI86"/>
    </row>
    <row r="87" spans="1:61" ht="12.75" customHeight="1" x14ac:dyDescent="0.2">
      <c r="A87" s="152" t="s">
        <v>3</v>
      </c>
      <c r="B87"/>
      <c r="C87" s="198">
        <f>C85/C86</f>
        <v>784.8</v>
      </c>
      <c r="D87" s="198">
        <f>D85/C86</f>
        <v>206.65</v>
      </c>
      <c r="E87" s="198">
        <f>E85/20</f>
        <v>148.4</v>
      </c>
      <c r="F87" s="198">
        <f>F85/20</f>
        <v>2.65</v>
      </c>
      <c r="G87" s="198">
        <f>G85/20</f>
        <v>4.75</v>
      </c>
      <c r="H87" s="203">
        <f>SUM(C87:G87)</f>
        <v>1147.25</v>
      </c>
      <c r="I87"/>
      <c r="J87"/>
      <c r="K87"/>
      <c r="L87" s="41"/>
      <c r="M87" s="68">
        <f>M85/M86</f>
        <v>151.68181818181819</v>
      </c>
      <c r="N87" s="68">
        <f>N85/M86</f>
        <v>654.0454545454545</v>
      </c>
      <c r="O87" s="68">
        <f>O85/M86</f>
        <v>109.81818181818181</v>
      </c>
      <c r="P87" s="68">
        <f>P85/M86</f>
        <v>4.7272727272727275</v>
      </c>
      <c r="Q87" s="68">
        <f>Q85/M86</f>
        <v>0</v>
      </c>
      <c r="R87" s="69">
        <f>R85/M86</f>
        <v>920.27272727272725</v>
      </c>
      <c r="S87"/>
      <c r="T87"/>
      <c r="U87"/>
      <c r="V87" s="41"/>
      <c r="W87" s="75">
        <f>W85/W86</f>
        <v>581.90476190476193</v>
      </c>
      <c r="X87" s="68">
        <f>X85/W86</f>
        <v>755.90476190476193</v>
      </c>
      <c r="Y87" s="68">
        <f>Y85/22</f>
        <v>158.68181818181819</v>
      </c>
      <c r="Z87" s="68">
        <f t="shared" ref="Z87:AA87" si="33">Z85/22</f>
        <v>6.7727272727272725</v>
      </c>
      <c r="AA87" s="68">
        <f t="shared" si="33"/>
        <v>18.59090909090909</v>
      </c>
      <c r="AB87" s="69">
        <f>AB85/W86</f>
        <v>1530.6190476190477</v>
      </c>
      <c r="AC87"/>
      <c r="AD87"/>
      <c r="AE87"/>
      <c r="AF87" s="41"/>
      <c r="AG87" s="198">
        <f>AG85/AG86</f>
        <v>577.18181818181813</v>
      </c>
      <c r="AH87" s="198">
        <f>AH85/AG86</f>
        <v>692.68181818181813</v>
      </c>
      <c r="AI87" s="198">
        <f>AI85/21</f>
        <v>171.23809523809524</v>
      </c>
      <c r="AJ87" s="198">
        <f t="shared" ref="AJ87:AK87" si="34">AJ85/21</f>
        <v>8.9523809523809526</v>
      </c>
      <c r="AK87" s="198">
        <f t="shared" si="34"/>
        <v>17.428571428571427</v>
      </c>
      <c r="AL87" s="203">
        <f>AL85/AG86</f>
        <v>1458.5</v>
      </c>
      <c r="AM87"/>
      <c r="AN87"/>
      <c r="AO87"/>
      <c r="AP87" s="41"/>
      <c r="AQ87" s="68">
        <f>AQ85/$AQ$86</f>
        <v>572.23809523809518</v>
      </c>
      <c r="AR87" s="68">
        <f t="shared" ref="AR87:AU87" si="35">AR85/$AQ$86</f>
        <v>763.76190476190482</v>
      </c>
      <c r="AS87" s="68">
        <f t="shared" si="35"/>
        <v>172.42857142857142</v>
      </c>
      <c r="AT87" s="68">
        <f t="shared" si="35"/>
        <v>5.3095238095238093</v>
      </c>
      <c r="AU87" s="68">
        <f t="shared" si="35"/>
        <v>18.047619047619047</v>
      </c>
      <c r="AV87" s="69">
        <f>SUM(AQ87:AU87)</f>
        <v>1531.7857142857142</v>
      </c>
      <c r="AW87"/>
      <c r="AX87"/>
      <c r="AY87"/>
      <c r="AZ87" s="41"/>
      <c r="BA87" s="69">
        <f>BA85/$BA$86</f>
        <v>448.3</v>
      </c>
      <c r="BB87" s="69">
        <f>BB85/$BA$86</f>
        <v>563.4</v>
      </c>
      <c r="BC87" s="69">
        <f>BC85/$BA$86</f>
        <v>144.80000000000001</v>
      </c>
      <c r="BD87" s="69">
        <f>BD85/$BA$86</f>
        <v>7.35</v>
      </c>
      <c r="BE87" s="69">
        <f>BE85/$BA$86</f>
        <v>25.8</v>
      </c>
      <c r="BF87" s="69">
        <f>BF85/BA86</f>
        <v>1189.6500000000001</v>
      </c>
      <c r="BG87"/>
      <c r="BH87"/>
      <c r="BI87"/>
    </row>
    <row r="88" spans="1:61" ht="12.75" customHeight="1" x14ac:dyDescent="0.2">
      <c r="A88" s="158" t="s">
        <v>35</v>
      </c>
      <c r="B88"/>
      <c r="C88" s="136">
        <f>COUNTIF(C54:C84,"&gt;1350")</f>
        <v>0</v>
      </c>
      <c r="D88" s="136">
        <f>COUNTIF(D54:D84,"&gt;1450")</f>
        <v>0</v>
      </c>
      <c r="E88" s="136">
        <f t="shared" ref="E88:G88" si="36">COUNTIF(E54:E84,"&gt;1450")</f>
        <v>0</v>
      </c>
      <c r="F88" s="136">
        <f t="shared" si="36"/>
        <v>0</v>
      </c>
      <c r="G88" s="136">
        <f t="shared" si="36"/>
        <v>0</v>
      </c>
      <c r="H88" s="169"/>
      <c r="I88"/>
      <c r="J88"/>
      <c r="K88"/>
      <c r="L88" s="41"/>
      <c r="M88" s="68">
        <f>COUNTIF(M54:M84,"&gt;1350")</f>
        <v>0</v>
      </c>
      <c r="N88" s="68">
        <f t="shared" ref="N88:Q88" si="37">COUNTIF(N54:N84,"&gt;1350")</f>
        <v>0</v>
      </c>
      <c r="O88" s="68">
        <f t="shared" si="37"/>
        <v>0</v>
      </c>
      <c r="P88" s="68">
        <f t="shared" si="37"/>
        <v>0</v>
      </c>
      <c r="Q88" s="68">
        <f t="shared" si="37"/>
        <v>0</v>
      </c>
      <c r="R88" s="169"/>
      <c r="S88"/>
      <c r="T88"/>
      <c r="U88"/>
      <c r="V88" s="41"/>
      <c r="W88" s="75">
        <f>COUNTIF(W54:W84,"&gt;1350")</f>
        <v>0</v>
      </c>
      <c r="X88" s="68">
        <f>COUNTIF(X54:X84,"&gt;1450")</f>
        <v>0</v>
      </c>
      <c r="Y88" s="68">
        <f t="shared" ref="Y88:AA88" si="38">COUNTIF(Y54:Y84,"&gt;1450")</f>
        <v>0</v>
      </c>
      <c r="Z88" s="68">
        <f t="shared" si="38"/>
        <v>0</v>
      </c>
      <c r="AA88" s="68">
        <f t="shared" si="38"/>
        <v>0</v>
      </c>
      <c r="AB88" s="169"/>
      <c r="AC88"/>
      <c r="AD88"/>
      <c r="AE88"/>
      <c r="AF88" s="41"/>
      <c r="AG88" s="198">
        <f>COUNTIF(AG54:AG84,"&gt;1350")</f>
        <v>0</v>
      </c>
      <c r="AH88" s="136">
        <f>COUNTIF(AH54:AH84,"&gt;1450")</f>
        <v>0</v>
      </c>
      <c r="AI88" s="136">
        <f t="shared" ref="AI88:AK88" si="39">COUNTIF(AI54:AI84,"&gt;1450")</f>
        <v>0</v>
      </c>
      <c r="AJ88" s="198">
        <f t="shared" si="39"/>
        <v>0</v>
      </c>
      <c r="AK88" s="198">
        <f t="shared" si="39"/>
        <v>0</v>
      </c>
      <c r="AL88" s="169"/>
      <c r="AM88"/>
      <c r="AN88"/>
      <c r="AO88"/>
      <c r="AP88" s="41"/>
      <c r="AQ88" s="68">
        <f>COUNTIF(AQ54:AQ84,"&gt;1350")</f>
        <v>0</v>
      </c>
      <c r="AR88" s="68">
        <f>COUNTIF(AR54:AR84,"&gt;1450")</f>
        <v>0</v>
      </c>
      <c r="AS88" s="68">
        <f t="shared" ref="AS88:AU88" si="40">COUNTIF(AS54:AS84,"&gt;1450")</f>
        <v>0</v>
      </c>
      <c r="AT88" s="68">
        <f t="shared" si="40"/>
        <v>0</v>
      </c>
      <c r="AU88" s="68">
        <f t="shared" si="40"/>
        <v>0</v>
      </c>
      <c r="AV88" s="169"/>
      <c r="AW88"/>
      <c r="AX88"/>
      <c r="AY88"/>
      <c r="AZ88" s="41"/>
      <c r="BA88" s="69">
        <f>COUNTIF(BA54:BA84,"&gt;1350")</f>
        <v>0</v>
      </c>
      <c r="BB88" s="68">
        <f>COUNTIF(BB54:BB84,"&gt;1450")</f>
        <v>0</v>
      </c>
      <c r="BC88" s="68">
        <f t="shared" ref="BC88:BE88" si="41">COUNTIF(BC54:BC84,"&gt;1450")</f>
        <v>0</v>
      </c>
      <c r="BD88" s="68">
        <f t="shared" si="41"/>
        <v>0</v>
      </c>
      <c r="BE88" s="68">
        <f t="shared" si="41"/>
        <v>0</v>
      </c>
      <c r="BF88" s="169"/>
      <c r="BG88"/>
      <c r="BH88"/>
      <c r="BI88"/>
    </row>
    <row r="89" spans="1:61" ht="12.75" customHeight="1" x14ac:dyDescent="0.2">
      <c r="A89" s="161" t="s">
        <v>36</v>
      </c>
      <c r="B89"/>
      <c r="C89" s="136">
        <f>COUNTIF(C54:C84,"&lt;1350")</f>
        <v>20</v>
      </c>
      <c r="D89" s="136">
        <f>COUNTIF(D54:D84,"&lt;1450")</f>
        <v>20</v>
      </c>
      <c r="E89" s="136">
        <f t="shared" ref="E89" si="42">COUNTIF(E54:E84,"&lt;1450")</f>
        <v>20</v>
      </c>
      <c r="F89" s="136">
        <f>COUNTIF(F54:F84,"&lt;1450")</f>
        <v>20</v>
      </c>
      <c r="G89" s="136">
        <f>COUNTIF(G54:G84,"&lt;1450")</f>
        <v>16</v>
      </c>
      <c r="H89"/>
      <c r="I89"/>
      <c r="J89"/>
      <c r="K89"/>
      <c r="L89" s="41"/>
      <c r="M89" s="68">
        <f>COUNTIF(M54:M84,"&lt;1350")</f>
        <v>21</v>
      </c>
      <c r="N89" s="68">
        <f>COUNTIF(N54:N84,"&lt;1450")</f>
        <v>21</v>
      </c>
      <c r="O89" s="68">
        <f t="shared" ref="O89:Q89" si="43">COUNTIF(O54:O84,"&lt;1450")</f>
        <v>21</v>
      </c>
      <c r="P89" s="68">
        <f>COUNTIF(P54:P84,"&lt;1450")</f>
        <v>21</v>
      </c>
      <c r="Q89" s="68">
        <f t="shared" si="43"/>
        <v>0</v>
      </c>
      <c r="R89"/>
      <c r="S89"/>
      <c r="T89"/>
      <c r="U89"/>
      <c r="V89" s="41"/>
      <c r="W89" s="75">
        <f>COUNTIF(W54:W84,"&lt;1350")</f>
        <v>21</v>
      </c>
      <c r="X89" s="68">
        <f>COUNTIF(X54:X84,"&lt;1450")</f>
        <v>21</v>
      </c>
      <c r="Y89" s="68">
        <f t="shared" ref="Y89:AA89" si="44">COUNTIF(Y54:Y84,"&lt;1450")</f>
        <v>21</v>
      </c>
      <c r="Z89" s="68">
        <f t="shared" si="44"/>
        <v>21</v>
      </c>
      <c r="AA89" s="68">
        <f t="shared" si="44"/>
        <v>20</v>
      </c>
      <c r="AB89"/>
      <c r="AC89"/>
      <c r="AD89"/>
      <c r="AE89"/>
      <c r="AF89" s="41"/>
      <c r="AG89" s="198">
        <f>COUNTIF(AG54:AG84,"&lt;1350")</f>
        <v>22</v>
      </c>
      <c r="AH89" s="136">
        <f>COUNTIF(AH54:AH84,"&lt;1450")</f>
        <v>22</v>
      </c>
      <c r="AI89" s="136">
        <f t="shared" ref="AI89:AK89" si="45">COUNTIF(AI54:AI84,"&lt;1450")</f>
        <v>22</v>
      </c>
      <c r="AJ89" s="198">
        <f t="shared" si="45"/>
        <v>22</v>
      </c>
      <c r="AK89" s="198">
        <f t="shared" si="45"/>
        <v>21</v>
      </c>
      <c r="AL89"/>
      <c r="AM89"/>
      <c r="AN89"/>
      <c r="AO89"/>
      <c r="AP89" s="41"/>
      <c r="AQ89" s="68">
        <f>COUNTIF(AQ54:AQ84,"&lt;1350")</f>
        <v>21</v>
      </c>
      <c r="AR89" s="68">
        <f>COUNTIF(AR54:AR84,"&lt;1450")</f>
        <v>21</v>
      </c>
      <c r="AS89" s="68">
        <f t="shared" ref="AS89:AU89" si="46">COUNTIF(AS54:AS84,"&lt;1450")</f>
        <v>21</v>
      </c>
      <c r="AT89" s="68">
        <f t="shared" si="46"/>
        <v>22</v>
      </c>
      <c r="AU89" s="68">
        <f t="shared" si="46"/>
        <v>19</v>
      </c>
      <c r="AV89"/>
      <c r="AW89"/>
      <c r="AX89"/>
      <c r="AY89"/>
      <c r="AZ89" s="41"/>
      <c r="BA89" s="69">
        <f>COUNTIF(BA54:BA84,"&lt;1350")</f>
        <v>18</v>
      </c>
      <c r="BB89" s="68">
        <f>COUNTIF(BB54:BB84,"&lt;1450")</f>
        <v>17</v>
      </c>
      <c r="BC89" s="68">
        <f t="shared" ref="BC89:BE89" si="47">COUNTIF(BC54:BC84,"&lt;1450")</f>
        <v>19</v>
      </c>
      <c r="BD89" s="68">
        <f t="shared" si="47"/>
        <v>15</v>
      </c>
      <c r="BE89" s="68">
        <f t="shared" si="47"/>
        <v>13</v>
      </c>
      <c r="BF89"/>
      <c r="BG89"/>
      <c r="BH89"/>
      <c r="BI89"/>
    </row>
    <row r="90" spans="1:61" ht="13.5" customHeight="1" x14ac:dyDescent="0.15">
      <c r="A90" s="3"/>
      <c r="B90" s="3"/>
      <c r="V90" s="3"/>
      <c r="AF90" s="3"/>
      <c r="AG90" s="190">
        <v>12698</v>
      </c>
      <c r="AH90" s="5">
        <v>15239</v>
      </c>
      <c r="AI90" s="5">
        <v>3596</v>
      </c>
      <c r="AJ90" s="190">
        <f>22+176</f>
        <v>198</v>
      </c>
      <c r="AP90" s="3"/>
      <c r="AZ90" s="3"/>
    </row>
    <row r="92" spans="1:61" ht="12.75" customHeight="1" x14ac:dyDescent="0.2">
      <c r="V92" s="3"/>
      <c r="AC92" s="4"/>
      <c r="AD92" s="4"/>
      <c r="AE92" s="4"/>
      <c r="AF92" s="43"/>
      <c r="AG92"/>
      <c r="AH92" s="42"/>
      <c r="AI92" s="42"/>
      <c r="AJ92" s="1"/>
      <c r="AK92" s="1"/>
      <c r="AL92" s="42"/>
      <c r="AO92" s="43"/>
      <c r="AP92" s="43"/>
      <c r="AS92"/>
      <c r="AT92"/>
      <c r="AU92"/>
      <c r="AV92"/>
      <c r="AW92"/>
      <c r="AX92"/>
      <c r="AY92"/>
      <c r="AZ92"/>
      <c r="BA92"/>
      <c r="BB92" s="48" t="s">
        <v>37</v>
      </c>
      <c r="BC92" s="48"/>
      <c r="BD92" s="48"/>
      <c r="BE92" s="48"/>
    </row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</sheetData>
  <customSheetViews>
    <customSheetView guid="{4261CD67-5D65-4DD2-973C-86E18F346915}" scale="70">
      <selection activeCell="V19" sqref="V19"/>
      <pageMargins left="0.7" right="0.7" top="0.75" bottom="0.75" header="0.3" footer="0.3"/>
    </customSheetView>
    <customSheetView guid="{4B9E6F47-E822-4B41-9FB8-C018EDEE05F0}" scale="70">
      <selection activeCell="V19" sqref="V19"/>
      <pageMargins left="0.7" right="0.7" top="0.75" bottom="0.75" header="0.3" footer="0.3"/>
    </customSheetView>
    <customSheetView guid="{00143794-1634-4728-804C-0864C5535C6C}" scale="70" showPageBreaks="1">
      <selection activeCell="V19" sqref="V19"/>
      <pageMargins left="0.31496062992125984" right="0.31496062992125984" top="0.55118110236220474" bottom="0.55118110236220474" header="0.31496062992125984" footer="0.31496062992125984"/>
      <printOptions horizontalCentered="1"/>
      <pageSetup paperSize="9" orientation="landscape" r:id="rId1"/>
      <headerFooter>
        <oddHeader>&amp;L041-24&amp;CCCTP - Annexe 1 - Données de fréquentation</oddHeader>
        <oddFooter>Page &amp;P de &amp;N</oddFooter>
      </headerFooter>
    </customSheetView>
  </customSheetView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2"/>
  <headerFooter>
    <oddHeader>&amp;L041-24&amp;CCCTP - Annexe 1 - Données de fréquentation</oddHead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92"/>
  <sheetViews>
    <sheetView zoomScale="70" zoomScaleNormal="70" workbookViewId="0">
      <selection activeCell="V5" sqref="V5"/>
    </sheetView>
  </sheetViews>
  <sheetFormatPr baseColWidth="10" defaultColWidth="11" defaultRowHeight="12.75" customHeight="1" x14ac:dyDescent="0.15"/>
  <cols>
    <col min="1" max="1" width="6.25" style="1" customWidth="1"/>
    <col min="2" max="2" width="6.25" style="2" customWidth="1"/>
    <col min="3" max="3" width="5.875" style="3" bestFit="1" customWidth="1"/>
    <col min="4" max="4" width="6" style="3" bestFit="1" customWidth="1"/>
    <col min="5" max="5" width="5" style="3" bestFit="1" customWidth="1"/>
    <col min="6" max="6" width="6.25" style="3" customWidth="1"/>
    <col min="7" max="7" width="6.25" style="4" customWidth="1"/>
    <col min="8" max="8" width="6.125" style="250" customWidth="1"/>
    <col min="9" max="11" width="0.75" style="3" customWidth="1"/>
    <col min="12" max="12" width="10.5" style="2" bestFit="1" customWidth="1"/>
    <col min="13" max="13" width="7.625" style="3" customWidth="1"/>
    <col min="14" max="17" width="6.25" style="3" customWidth="1"/>
    <col min="18" max="18" width="5.875" style="250" customWidth="1"/>
    <col min="19" max="21" width="0.75" style="3" customWidth="1"/>
    <col min="22" max="22" width="10.5" style="2" bestFit="1" customWidth="1"/>
    <col min="23" max="23" width="6.25" style="4" customWidth="1"/>
    <col min="24" max="24" width="6.25" style="3" customWidth="1"/>
    <col min="25" max="25" width="5" style="3" bestFit="1" customWidth="1"/>
    <col min="26" max="27" width="6.25" style="2" customWidth="1"/>
    <col min="28" max="28" width="5.875" style="3" bestFit="1" customWidth="1"/>
    <col min="29" max="31" width="0.75" style="3" customWidth="1"/>
    <col min="32" max="32" width="10.5" style="2" bestFit="1" customWidth="1"/>
    <col min="33" max="33" width="8.375" style="190" customWidth="1"/>
    <col min="34" max="34" width="8.25" style="5" customWidth="1"/>
    <col min="35" max="35" width="6.25" style="5" customWidth="1"/>
    <col min="36" max="36" width="7.25" style="190" customWidth="1"/>
    <col min="37" max="37" width="5.25" style="190" bestFit="1" customWidth="1"/>
    <col min="38" max="38" width="8.5" style="5" bestFit="1" customWidth="1"/>
    <col min="39" max="41" width="0.75" style="3" customWidth="1"/>
    <col min="42" max="42" width="10.5" style="2" bestFit="1" customWidth="1"/>
    <col min="43" max="48" width="6.25" style="3" customWidth="1"/>
    <col min="49" max="51" width="0.75" style="3" customWidth="1"/>
    <col min="52" max="52" width="10.5" style="2" bestFit="1" customWidth="1"/>
    <col min="53" max="57" width="6.75" style="3" customWidth="1"/>
    <col min="58" max="58" width="9.625" style="3" customWidth="1"/>
    <col min="59" max="61" width="0.75" style="3" customWidth="1"/>
    <col min="62" max="1033" width="19.125" style="3" customWidth="1"/>
    <col min="1034" max="1034" width="11" style="3" customWidth="1"/>
    <col min="1035" max="16384" width="11" style="3"/>
  </cols>
  <sheetData>
    <row r="1" spans="1:61" ht="12.75" customHeight="1" x14ac:dyDescent="0.15">
      <c r="BA1" s="6" t="s">
        <v>20</v>
      </c>
      <c r="BB1" s="6" t="s">
        <v>21</v>
      </c>
      <c r="BC1" s="6" t="s">
        <v>46</v>
      </c>
      <c r="BD1" s="6" t="s">
        <v>52</v>
      </c>
      <c r="BE1" s="6" t="s">
        <v>53</v>
      </c>
    </row>
    <row r="2" spans="1:61" ht="18.75" customHeight="1" x14ac:dyDescent="0.15">
      <c r="A2" s="7" t="s">
        <v>47</v>
      </c>
      <c r="B2" s="3"/>
      <c r="M2" s="6"/>
      <c r="N2" s="6"/>
      <c r="O2" s="6"/>
      <c r="P2" s="6"/>
      <c r="Q2" s="6"/>
      <c r="R2" s="258"/>
      <c r="S2" s="6"/>
      <c r="T2" s="6"/>
      <c r="U2" s="6"/>
      <c r="V2" s="6"/>
      <c r="W2" s="8"/>
      <c r="X2" s="6"/>
      <c r="Y2" s="6"/>
      <c r="Z2" s="6"/>
      <c r="AA2" s="6"/>
      <c r="AB2" s="6"/>
      <c r="AC2" s="6"/>
      <c r="AD2" s="6"/>
      <c r="AE2" s="6"/>
      <c r="AF2" s="6"/>
      <c r="AG2" s="191"/>
      <c r="AH2" s="9"/>
      <c r="AI2" s="9"/>
      <c r="AJ2" s="191"/>
      <c r="AK2" s="191"/>
      <c r="AL2" s="9"/>
      <c r="AM2" s="6"/>
      <c r="AN2" s="6"/>
      <c r="AO2" s="6"/>
      <c r="AP2" s="6"/>
      <c r="AQ2" s="392" t="s">
        <v>0</v>
      </c>
      <c r="AR2" s="392"/>
      <c r="AS2" s="392"/>
      <c r="AT2" s="392"/>
      <c r="AU2" s="392"/>
      <c r="AV2" s="392"/>
      <c r="AW2" s="392"/>
      <c r="AX2" s="392"/>
      <c r="AY2" s="392"/>
      <c r="AZ2" s="392"/>
      <c r="BA2" s="10">
        <f>C43+M43+W43+AG43+AQ43+BA43+C85+M85+W85+AG85+AQ85+BA85</f>
        <v>90805</v>
      </c>
      <c r="BB2" s="10">
        <f>D43+N43+X43+AH43+AR43+BB43+D85+N85+X85+AH85+AR85+BB85</f>
        <v>99828</v>
      </c>
      <c r="BC2" s="10">
        <f>E43+O43+Y43+AI43+AS43+BC43+E85+O85+Y85+AI85+AS85+BC85</f>
        <v>25686</v>
      </c>
      <c r="BD2" s="10">
        <f>F43+P43+Z43+AJ43+AT43+BD43+F85+P85+Z85+AJ85+AT85+BD85</f>
        <v>916.5</v>
      </c>
      <c r="BE2" s="10">
        <f>G43+Q43+AA43+AK43+AU43+BE43+G85+Q85+AA85+AK85+AU85+BE85</f>
        <v>3067</v>
      </c>
      <c r="BF2" s="396">
        <f>BA2+BB2+BC2+BD2+BE2</f>
        <v>220302.5</v>
      </c>
      <c r="BG2" s="396"/>
      <c r="BH2" s="396"/>
      <c r="BI2" s="396"/>
    </row>
    <row r="3" spans="1:61" ht="18.75" customHeight="1" x14ac:dyDescent="0.15">
      <c r="A3" s="11" t="s">
        <v>59</v>
      </c>
      <c r="W3" s="12"/>
      <c r="X3" s="13"/>
      <c r="Y3" s="13"/>
      <c r="Z3" s="13"/>
      <c r="AA3" s="13"/>
      <c r="AB3" s="13"/>
      <c r="AC3" s="13"/>
      <c r="AD3" s="13"/>
      <c r="AE3" s="13"/>
      <c r="AF3" s="13"/>
      <c r="AG3" s="21"/>
      <c r="AH3" s="14"/>
      <c r="AI3" s="14"/>
      <c r="AJ3" s="21"/>
      <c r="AK3" s="21"/>
      <c r="AL3" s="14"/>
      <c r="AM3" s="13"/>
      <c r="AN3" s="13"/>
      <c r="AO3" s="13"/>
      <c r="AP3" s="13"/>
      <c r="AQ3" s="392" t="s">
        <v>1</v>
      </c>
      <c r="AR3" s="392"/>
      <c r="AS3" s="392"/>
      <c r="AT3" s="392"/>
      <c r="AU3" s="392"/>
      <c r="AV3" s="392"/>
      <c r="AW3" s="392"/>
      <c r="AX3" s="392"/>
      <c r="AY3" s="392"/>
      <c r="AZ3" s="392"/>
      <c r="BA3" s="397">
        <f>C44+M44+W44+AG44+AQ44+BA44+C86+M86+W86+AG86+AQ86+BA86</f>
        <v>251</v>
      </c>
      <c r="BB3" s="397"/>
      <c r="BC3" s="397"/>
      <c r="BD3" s="397"/>
      <c r="BE3" s="397"/>
      <c r="BF3" s="397"/>
      <c r="BG3" s="397"/>
      <c r="BH3" s="397"/>
      <c r="BI3" s="397"/>
    </row>
    <row r="4" spans="1:61" ht="15.75" customHeight="1" x14ac:dyDescent="0.15">
      <c r="A4" s="13"/>
      <c r="B4" s="13"/>
      <c r="C4" s="13"/>
      <c r="D4" s="13"/>
      <c r="E4" s="13"/>
      <c r="F4" s="13"/>
      <c r="G4" s="12"/>
      <c r="H4" s="251"/>
      <c r="I4" s="13"/>
      <c r="J4" s="13"/>
      <c r="K4" s="13"/>
      <c r="L4" s="15"/>
      <c r="M4" s="15" t="s">
        <v>2</v>
      </c>
      <c r="N4" s="15"/>
      <c r="O4" s="15"/>
      <c r="P4" s="15"/>
      <c r="Q4" s="15"/>
      <c r="R4" s="259"/>
      <c r="S4" s="13"/>
      <c r="T4" s="13"/>
      <c r="U4" s="13"/>
      <c r="V4" s="13"/>
      <c r="W4" s="12"/>
      <c r="X4" s="13"/>
      <c r="Y4" s="13"/>
      <c r="Z4" s="13"/>
      <c r="AA4" s="13"/>
      <c r="AB4" s="13"/>
      <c r="AC4" s="13"/>
      <c r="AD4" s="13"/>
      <c r="AE4" s="13"/>
      <c r="AF4" s="13"/>
      <c r="AG4" s="21"/>
      <c r="AH4" s="14"/>
      <c r="AI4" s="14"/>
      <c r="AJ4" s="21"/>
      <c r="AK4" s="21"/>
      <c r="AL4" s="14"/>
      <c r="AM4" s="13"/>
      <c r="AN4" s="13"/>
      <c r="AO4" s="13"/>
      <c r="AP4" s="13"/>
      <c r="AQ4" s="392" t="s">
        <v>3</v>
      </c>
      <c r="AR4" s="392"/>
      <c r="AS4" s="392"/>
      <c r="AT4" s="392"/>
      <c r="AU4" s="392"/>
      <c r="AV4" s="392"/>
      <c r="AW4" s="392"/>
      <c r="AX4" s="392"/>
      <c r="AY4" s="392"/>
      <c r="AZ4" s="392"/>
      <c r="BA4" s="17">
        <f>BA2/BA3</f>
        <v>361.77290836653384</v>
      </c>
      <c r="BB4" s="17">
        <f>BB2/BA3</f>
        <v>397.72111553784862</v>
      </c>
      <c r="BC4" s="17">
        <f>BC2/BA3</f>
        <v>102.33466135458167</v>
      </c>
      <c r="BD4" s="17">
        <f>BD2/BA3</f>
        <v>3.6513944223107568</v>
      </c>
      <c r="BE4" s="17">
        <f>BE2/BA3</f>
        <v>12.219123505976096</v>
      </c>
      <c r="BF4" s="393">
        <f>BF2/BA3</f>
        <v>877.69920318725099</v>
      </c>
      <c r="BG4" s="393"/>
      <c r="BH4" s="393"/>
      <c r="BI4" s="393"/>
    </row>
    <row r="5" spans="1:61" ht="15.75" customHeight="1" x14ac:dyDescent="0.15">
      <c r="A5" s="13"/>
      <c r="B5" s="13"/>
      <c r="C5" s="13"/>
      <c r="D5" s="13"/>
      <c r="E5" s="13"/>
      <c r="F5" s="13"/>
      <c r="G5" s="12"/>
      <c r="H5" s="251"/>
      <c r="I5" s="13"/>
      <c r="J5" s="13"/>
      <c r="K5" s="13"/>
      <c r="L5" s="13"/>
      <c r="M5" s="13"/>
      <c r="N5" s="13"/>
      <c r="O5" s="13"/>
      <c r="P5" s="13"/>
      <c r="Q5" s="13"/>
      <c r="R5" s="251"/>
      <c r="S5" s="13"/>
      <c r="T5" s="13"/>
      <c r="U5" s="13"/>
      <c r="V5" s="13"/>
      <c r="W5" s="12"/>
      <c r="X5" s="13"/>
      <c r="Y5" s="13"/>
      <c r="Z5" s="13"/>
      <c r="AA5" s="13"/>
      <c r="AB5" s="13"/>
      <c r="AC5" s="13"/>
      <c r="AD5" s="13"/>
      <c r="AE5" s="13"/>
      <c r="AF5" s="13"/>
      <c r="AG5" s="21"/>
      <c r="AH5" s="14"/>
      <c r="AI5" s="14"/>
      <c r="AJ5" s="21"/>
      <c r="AK5" s="21"/>
      <c r="AL5" s="14"/>
      <c r="AM5" s="13"/>
      <c r="AN5" s="13"/>
      <c r="AO5" s="13"/>
      <c r="AP5" s="13"/>
      <c r="AQ5" s="394" t="s">
        <v>4</v>
      </c>
      <c r="AR5" s="394"/>
      <c r="AS5" s="394"/>
      <c r="AT5" s="394"/>
      <c r="AU5" s="394"/>
      <c r="AV5" s="394"/>
      <c r="AW5" s="394"/>
      <c r="AX5" s="394"/>
      <c r="AY5" s="394"/>
      <c r="AZ5" s="394"/>
      <c r="BA5" s="18">
        <f t="shared" ref="BA5:BE6" si="0">C46+M46+W46+AG46+AQ46+BA46+C88+M88+W88+AG88+AQ88+BA88</f>
        <v>0</v>
      </c>
      <c r="BB5" s="19">
        <f t="shared" si="0"/>
        <v>0</v>
      </c>
      <c r="BC5" s="18">
        <f t="shared" si="0"/>
        <v>0</v>
      </c>
      <c r="BD5" s="19">
        <f t="shared" si="0"/>
        <v>0</v>
      </c>
      <c r="BE5" s="18">
        <f t="shared" si="0"/>
        <v>0</v>
      </c>
      <c r="BF5" s="395"/>
      <c r="BG5" s="395"/>
      <c r="BH5" s="395"/>
      <c r="BI5" s="395"/>
    </row>
    <row r="6" spans="1:61" ht="15.75" customHeight="1" x14ac:dyDescent="0.15">
      <c r="A6" s="3"/>
      <c r="B6" s="3"/>
      <c r="C6" s="398" t="s">
        <v>5</v>
      </c>
      <c r="D6" s="398"/>
      <c r="E6" s="20"/>
      <c r="F6" s="20"/>
      <c r="G6" s="49"/>
      <c r="H6" s="399" t="s">
        <v>6</v>
      </c>
      <c r="I6" s="399"/>
      <c r="J6" s="399"/>
      <c r="N6" s="2"/>
      <c r="O6" s="2"/>
      <c r="P6" s="2"/>
      <c r="Q6" s="2"/>
      <c r="R6" s="400" t="s">
        <v>7</v>
      </c>
      <c r="S6" s="400"/>
      <c r="T6" s="400"/>
      <c r="V6" s="3"/>
      <c r="AB6" s="401" t="s">
        <v>8</v>
      </c>
      <c r="AC6" s="401"/>
      <c r="AD6" s="401"/>
      <c r="AE6" s="13"/>
      <c r="AF6" s="13"/>
      <c r="AG6" s="21"/>
      <c r="AH6" s="14"/>
      <c r="AI6" s="14"/>
      <c r="AJ6" s="21"/>
      <c r="AK6" s="21"/>
      <c r="AL6" s="14"/>
      <c r="AM6" s="13"/>
      <c r="AN6" s="13"/>
      <c r="AO6" s="13"/>
      <c r="AP6" s="13"/>
      <c r="AQ6" s="402" t="s">
        <v>9</v>
      </c>
      <c r="AR6" s="402"/>
      <c r="AS6" s="402"/>
      <c r="AT6" s="402"/>
      <c r="AU6" s="402"/>
      <c r="AV6" s="402"/>
      <c r="AW6" s="402"/>
      <c r="AX6" s="402"/>
      <c r="AY6" s="402"/>
      <c r="AZ6" s="402"/>
      <c r="BA6" s="18">
        <f t="shared" si="0"/>
        <v>152</v>
      </c>
      <c r="BB6" s="19">
        <f t="shared" si="0"/>
        <v>141</v>
      </c>
      <c r="BC6" s="18">
        <f t="shared" si="0"/>
        <v>102</v>
      </c>
      <c r="BD6" s="19">
        <f t="shared" si="0"/>
        <v>88</v>
      </c>
      <c r="BE6" s="18">
        <f t="shared" si="0"/>
        <v>88</v>
      </c>
      <c r="BF6" s="395"/>
      <c r="BG6" s="395"/>
      <c r="BH6" s="395"/>
      <c r="BI6" s="395"/>
    </row>
    <row r="7" spans="1:61" ht="15.75" customHeight="1" x14ac:dyDescent="0.15">
      <c r="A7" s="21"/>
      <c r="B7" s="13"/>
      <c r="C7" s="13"/>
      <c r="D7" s="13"/>
      <c r="E7" s="13"/>
      <c r="F7" s="13"/>
      <c r="G7" s="12"/>
      <c r="H7" s="251"/>
      <c r="I7" s="13"/>
      <c r="J7" s="13"/>
      <c r="K7" s="13"/>
      <c r="L7" s="13"/>
      <c r="M7" s="13"/>
      <c r="N7" s="13"/>
      <c r="O7" s="13"/>
      <c r="P7" s="13"/>
      <c r="Q7" s="13"/>
      <c r="R7" s="251"/>
      <c r="S7" s="13"/>
      <c r="T7" s="13"/>
      <c r="U7" s="13"/>
      <c r="V7" s="13"/>
      <c r="W7" s="12"/>
      <c r="X7" s="13"/>
      <c r="Y7" s="13"/>
      <c r="Z7" s="13"/>
      <c r="AA7" s="13"/>
      <c r="AB7" s="13"/>
      <c r="AC7" s="13"/>
      <c r="AD7" s="13"/>
      <c r="AE7" s="13"/>
      <c r="AF7" s="13"/>
      <c r="AG7" s="21"/>
      <c r="AH7" s="14"/>
      <c r="AI7" s="14"/>
      <c r="AJ7" s="21"/>
      <c r="AK7" s="21"/>
      <c r="AL7" s="14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</row>
    <row r="8" spans="1:61" ht="15.2" customHeight="1" x14ac:dyDescent="0.15">
      <c r="A8" s="381" t="s">
        <v>10</v>
      </c>
      <c r="B8" s="382" t="s">
        <v>11</v>
      </c>
      <c r="C8" s="382"/>
      <c r="D8" s="382"/>
      <c r="E8" s="382"/>
      <c r="F8" s="382"/>
      <c r="G8" s="382"/>
      <c r="H8" s="382"/>
      <c r="I8" s="382"/>
      <c r="J8" s="382"/>
      <c r="K8" s="382"/>
      <c r="L8" s="382" t="s">
        <v>12</v>
      </c>
      <c r="M8" s="382"/>
      <c r="N8" s="382"/>
      <c r="O8" s="382"/>
      <c r="P8" s="382"/>
      <c r="Q8" s="382"/>
      <c r="R8" s="382"/>
      <c r="S8" s="382"/>
      <c r="T8" s="382"/>
      <c r="U8" s="382"/>
      <c r="V8" s="382" t="s">
        <v>13</v>
      </c>
      <c r="W8" s="382"/>
      <c r="X8" s="382"/>
      <c r="Y8" s="382"/>
      <c r="Z8" s="382"/>
      <c r="AA8" s="382"/>
      <c r="AB8" s="382"/>
      <c r="AC8" s="382"/>
      <c r="AD8" s="382"/>
      <c r="AE8" s="382"/>
      <c r="AF8" s="382" t="s">
        <v>14</v>
      </c>
      <c r="AG8" s="382"/>
      <c r="AH8" s="382"/>
      <c r="AI8" s="382"/>
      <c r="AJ8" s="382"/>
      <c r="AK8" s="382"/>
      <c r="AL8" s="382"/>
      <c r="AM8" s="382"/>
      <c r="AN8" s="382"/>
      <c r="AO8" s="382"/>
      <c r="AP8" s="382" t="s">
        <v>15</v>
      </c>
      <c r="AQ8" s="382"/>
      <c r="AR8" s="382"/>
      <c r="AS8" s="382"/>
      <c r="AT8" s="382"/>
      <c r="AU8" s="382"/>
      <c r="AV8" s="382"/>
      <c r="AW8" s="382"/>
      <c r="AX8" s="382"/>
      <c r="AY8" s="382"/>
      <c r="AZ8" s="382" t="s">
        <v>16</v>
      </c>
      <c r="BA8" s="382"/>
      <c r="BB8" s="382"/>
      <c r="BC8" s="382"/>
      <c r="BD8" s="382"/>
      <c r="BE8" s="382"/>
      <c r="BF8" s="382"/>
      <c r="BG8" s="382"/>
      <c r="BH8" s="382"/>
      <c r="BI8" s="382"/>
    </row>
    <row r="9" spans="1:61" s="22" customFormat="1" ht="13.7" customHeight="1" x14ac:dyDescent="0.2">
      <c r="A9" s="381"/>
      <c r="B9" s="384" t="s">
        <v>18</v>
      </c>
      <c r="C9" s="383" t="s">
        <v>19</v>
      </c>
      <c r="D9" s="383"/>
      <c r="E9" s="383"/>
      <c r="F9" s="383"/>
      <c r="G9" s="383"/>
      <c r="H9" s="383"/>
      <c r="I9" s="383"/>
      <c r="J9" s="383"/>
      <c r="K9" s="383"/>
      <c r="L9" s="384" t="s">
        <v>18</v>
      </c>
      <c r="M9" s="383" t="s">
        <v>19</v>
      </c>
      <c r="N9" s="383"/>
      <c r="O9" s="383"/>
      <c r="P9" s="383"/>
      <c r="Q9" s="383"/>
      <c r="R9" s="383"/>
      <c r="S9" s="383"/>
      <c r="T9" s="383"/>
      <c r="U9" s="383"/>
      <c r="V9" s="384" t="s">
        <v>18</v>
      </c>
      <c r="W9" s="383" t="s">
        <v>19</v>
      </c>
      <c r="X9" s="383"/>
      <c r="Y9" s="383"/>
      <c r="Z9" s="383"/>
      <c r="AA9" s="383"/>
      <c r="AB9" s="383"/>
      <c r="AC9" s="383"/>
      <c r="AD9" s="383"/>
      <c r="AE9" s="383"/>
      <c r="AF9" s="384" t="s">
        <v>18</v>
      </c>
      <c r="AG9" s="383" t="s">
        <v>19</v>
      </c>
      <c r="AH9" s="383"/>
      <c r="AI9" s="383"/>
      <c r="AJ9" s="383"/>
      <c r="AK9" s="383"/>
      <c r="AL9" s="383"/>
      <c r="AM9" s="383"/>
      <c r="AN9" s="383"/>
      <c r="AO9" s="383"/>
      <c r="AP9" s="384" t="s">
        <v>18</v>
      </c>
      <c r="AQ9" s="383" t="s">
        <v>19</v>
      </c>
      <c r="AR9" s="383"/>
      <c r="AS9" s="383"/>
      <c r="AT9" s="383"/>
      <c r="AU9" s="383"/>
      <c r="AV9" s="383"/>
      <c r="AW9" s="383"/>
      <c r="AX9" s="383"/>
      <c r="AY9" s="383"/>
      <c r="AZ9" s="384" t="s">
        <v>18</v>
      </c>
      <c r="BA9" s="383" t="s">
        <v>19</v>
      </c>
      <c r="BB9" s="383"/>
      <c r="BC9" s="383"/>
      <c r="BD9" s="383"/>
      <c r="BE9" s="383"/>
      <c r="BF9" s="383"/>
      <c r="BG9" s="383"/>
      <c r="BH9" s="383"/>
      <c r="BI9" s="383"/>
    </row>
    <row r="10" spans="1:61" s="22" customFormat="1" ht="13.7" customHeight="1" x14ac:dyDescent="0.2">
      <c r="A10" s="381"/>
      <c r="B10" s="384"/>
      <c r="C10" s="23" t="s">
        <v>20</v>
      </c>
      <c r="D10" s="23" t="s">
        <v>21</v>
      </c>
      <c r="E10" s="23" t="s">
        <v>46</v>
      </c>
      <c r="F10" s="23" t="s">
        <v>52</v>
      </c>
      <c r="G10" s="24" t="s">
        <v>53</v>
      </c>
      <c r="H10" s="385" t="s">
        <v>22</v>
      </c>
      <c r="I10" s="385"/>
      <c r="J10" s="385"/>
      <c r="K10" s="385"/>
      <c r="L10" s="384"/>
      <c r="M10" s="23" t="s">
        <v>20</v>
      </c>
      <c r="N10" s="23" t="s">
        <v>21</v>
      </c>
      <c r="O10" s="23" t="s">
        <v>46</v>
      </c>
      <c r="P10" s="23" t="s">
        <v>52</v>
      </c>
      <c r="Q10" s="23" t="s">
        <v>53</v>
      </c>
      <c r="R10" s="23" t="s">
        <v>22</v>
      </c>
      <c r="S10" s="23"/>
      <c r="T10" s="23"/>
      <c r="U10" s="23"/>
      <c r="V10" s="384"/>
      <c r="W10" s="26" t="s">
        <v>20</v>
      </c>
      <c r="X10" s="26" t="s">
        <v>21</v>
      </c>
      <c r="Y10" s="26" t="s">
        <v>46</v>
      </c>
      <c r="Z10" s="23" t="s">
        <v>52</v>
      </c>
      <c r="AA10" s="23" t="s">
        <v>53</v>
      </c>
      <c r="AB10" s="385" t="s">
        <v>22</v>
      </c>
      <c r="AC10" s="385"/>
      <c r="AD10" s="385"/>
      <c r="AE10" s="385"/>
      <c r="AF10" s="384"/>
      <c r="AG10" s="192" t="s">
        <v>20</v>
      </c>
      <c r="AH10" s="27" t="s">
        <v>21</v>
      </c>
      <c r="AI10" s="27" t="s">
        <v>46</v>
      </c>
      <c r="AJ10" s="201" t="s">
        <v>52</v>
      </c>
      <c r="AK10" s="201" t="s">
        <v>53</v>
      </c>
      <c r="AL10" s="385" t="s">
        <v>22</v>
      </c>
      <c r="AM10" s="385"/>
      <c r="AN10" s="385"/>
      <c r="AO10" s="385"/>
      <c r="AP10" s="384"/>
      <c r="AQ10" s="26" t="s">
        <v>20</v>
      </c>
      <c r="AR10" s="26" t="s">
        <v>21</v>
      </c>
      <c r="AS10" s="26" t="s">
        <v>46</v>
      </c>
      <c r="AT10" s="23" t="s">
        <v>52</v>
      </c>
      <c r="AU10" s="23" t="s">
        <v>53</v>
      </c>
      <c r="AV10" s="385" t="s">
        <v>22</v>
      </c>
      <c r="AW10" s="385"/>
      <c r="AX10" s="385"/>
      <c r="AY10" s="385"/>
      <c r="AZ10" s="384"/>
      <c r="BA10" s="26" t="s">
        <v>20</v>
      </c>
      <c r="BB10" s="26" t="s">
        <v>21</v>
      </c>
      <c r="BC10" s="26" t="s">
        <v>46</v>
      </c>
      <c r="BD10" s="23" t="s">
        <v>52</v>
      </c>
      <c r="BE10" s="23" t="s">
        <v>53</v>
      </c>
      <c r="BF10" s="385" t="s">
        <v>22</v>
      </c>
      <c r="BG10" s="385"/>
      <c r="BH10" s="385"/>
      <c r="BI10" s="385"/>
    </row>
    <row r="11" spans="1:61" ht="13.5" customHeight="1" x14ac:dyDescent="0.2">
      <c r="A11" s="28" t="s">
        <v>23</v>
      </c>
      <c r="B11" s="29" t="s">
        <v>26</v>
      </c>
      <c r="C11" s="389" t="s">
        <v>25</v>
      </c>
      <c r="D11" s="389"/>
      <c r="E11" s="389"/>
      <c r="F11" s="389"/>
      <c r="G11" s="389"/>
      <c r="H11" s="389"/>
      <c r="I11" s="389"/>
      <c r="J11" s="389"/>
      <c r="K11" s="389"/>
      <c r="L11" s="30" t="s">
        <v>27</v>
      </c>
      <c r="M11" s="81">
        <v>597</v>
      </c>
      <c r="N11" s="81">
        <v>962</v>
      </c>
      <c r="O11" s="81">
        <v>155</v>
      </c>
      <c r="P11" s="81">
        <f>6</f>
        <v>6</v>
      </c>
      <c r="Q11" s="81">
        <v>35</v>
      </c>
      <c r="R11" s="69">
        <f>SUM(M11:Q11)</f>
        <v>1755</v>
      </c>
      <c r="S11" s="51"/>
      <c r="T11" s="51"/>
      <c r="U11" s="52"/>
      <c r="V11" s="30" t="s">
        <v>24</v>
      </c>
      <c r="W11" s="81">
        <v>744</v>
      </c>
      <c r="X11" s="206"/>
      <c r="Y11" s="81">
        <v>156</v>
      </c>
      <c r="Z11" s="81">
        <v>8</v>
      </c>
      <c r="AA11" s="81"/>
      <c r="AB11" s="57">
        <f>SUM(W11:AA11)</f>
        <v>908</v>
      </c>
      <c r="AC11" s="183"/>
      <c r="AD11" s="64"/>
      <c r="AE11" s="64"/>
      <c r="AF11" s="30" t="s">
        <v>26</v>
      </c>
      <c r="AG11" s="155" t="s">
        <v>60</v>
      </c>
      <c r="AH11" s="153"/>
      <c r="AI11" s="153"/>
      <c r="AJ11" s="153"/>
      <c r="AK11" s="153"/>
      <c r="AL11" s="153"/>
      <c r="AM11" s="153"/>
      <c r="AN11" s="153"/>
      <c r="AO11" s="153"/>
      <c r="AP11" s="233" t="s">
        <v>32</v>
      </c>
      <c r="AQ11" s="379" t="s">
        <v>29</v>
      </c>
      <c r="AR11" s="379"/>
      <c r="AS11" s="379"/>
      <c r="AT11" s="379"/>
      <c r="AU11" s="379"/>
      <c r="AV11" s="379"/>
      <c r="AW11" s="267"/>
      <c r="AX11" s="268"/>
      <c r="AY11" s="268"/>
      <c r="AZ11" s="30" t="s">
        <v>28</v>
      </c>
      <c r="BA11" s="129"/>
      <c r="BB11" s="129"/>
      <c r="BC11" s="129"/>
      <c r="BD11" s="129"/>
      <c r="BE11" s="129"/>
      <c r="BF11" s="129"/>
      <c r="BG11" s="116"/>
      <c r="BH11" s="116"/>
      <c r="BI11" s="117"/>
    </row>
    <row r="12" spans="1:61" ht="12.75" customHeight="1" x14ac:dyDescent="0.2">
      <c r="A12" s="28">
        <v>2</v>
      </c>
      <c r="B12" s="29" t="s">
        <v>30</v>
      </c>
      <c r="C12" s="81">
        <v>667</v>
      </c>
      <c r="D12" s="206"/>
      <c r="E12" s="76">
        <v>143</v>
      </c>
      <c r="F12" s="81"/>
      <c r="G12" s="81"/>
      <c r="H12" s="227">
        <f>SUM(C12:G12)</f>
        <v>810</v>
      </c>
      <c r="I12" s="55"/>
      <c r="J12" s="55"/>
      <c r="K12" s="55"/>
      <c r="L12" s="30" t="s">
        <v>24</v>
      </c>
      <c r="M12" s="82">
        <v>765</v>
      </c>
      <c r="N12" s="206"/>
      <c r="O12" s="81">
        <v>134</v>
      </c>
      <c r="P12" s="81">
        <f>2+10</f>
        <v>12</v>
      </c>
      <c r="Q12" s="81">
        <v>44</v>
      </c>
      <c r="R12" s="69">
        <f t="shared" ref="R12:R39" si="1">SUM(M12:Q12)</f>
        <v>955</v>
      </c>
      <c r="S12" s="53"/>
      <c r="T12" s="53"/>
      <c r="U12" s="54"/>
      <c r="V12" s="30" t="s">
        <v>28</v>
      </c>
      <c r="W12" s="60"/>
      <c r="X12" s="60"/>
      <c r="Y12" s="60"/>
      <c r="Z12" s="60"/>
      <c r="AA12" s="60"/>
      <c r="AB12" s="238"/>
      <c r="AC12" s="64"/>
      <c r="AD12" s="64"/>
      <c r="AE12" s="64"/>
      <c r="AF12" s="30" t="s">
        <v>30</v>
      </c>
      <c r="AG12" s="194">
        <v>696</v>
      </c>
      <c r="AH12" s="194">
        <f>1028</f>
        <v>1028</v>
      </c>
      <c r="AI12" s="194">
        <v>173</v>
      </c>
      <c r="AJ12" s="194">
        <f>2+6</f>
        <v>8</v>
      </c>
      <c r="AK12" s="202">
        <v>4</v>
      </c>
      <c r="AL12" s="204">
        <f>SUM(AG12:AK12)</f>
        <v>1909</v>
      </c>
      <c r="AM12" s="53"/>
      <c r="AN12" s="53"/>
      <c r="AO12" s="54"/>
      <c r="AP12" s="233" t="s">
        <v>27</v>
      </c>
      <c r="AQ12" s="114">
        <v>514</v>
      </c>
      <c r="AR12" s="112">
        <v>812</v>
      </c>
      <c r="AS12" s="112">
        <v>186</v>
      </c>
      <c r="AT12" s="112">
        <f>3</f>
        <v>3</v>
      </c>
      <c r="AU12" s="112">
        <v>0</v>
      </c>
      <c r="AV12" s="112">
        <f>SUM(AQ12:AU12)</f>
        <v>1515</v>
      </c>
      <c r="AW12" s="264"/>
      <c r="AX12" s="264"/>
      <c r="AY12" s="264"/>
      <c r="AZ12" s="30" t="s">
        <v>31</v>
      </c>
      <c r="BA12" s="120"/>
      <c r="BB12" s="120"/>
      <c r="BC12" s="120"/>
      <c r="BD12" s="120"/>
      <c r="BE12" s="120"/>
      <c r="BF12" s="120"/>
      <c r="BG12" s="118"/>
      <c r="BH12" s="118"/>
      <c r="BI12" s="119"/>
    </row>
    <row r="13" spans="1:61" ht="12.75" customHeight="1" x14ac:dyDescent="0.2">
      <c r="A13" s="28">
        <v>3</v>
      </c>
      <c r="B13" s="29" t="s">
        <v>32</v>
      </c>
      <c r="C13" s="82">
        <v>896</v>
      </c>
      <c r="D13" s="206"/>
      <c r="E13" s="76">
        <v>145</v>
      </c>
      <c r="F13" s="81"/>
      <c r="G13" s="81"/>
      <c r="H13" s="76">
        <f>SUM(C13:G13)</f>
        <v>1041</v>
      </c>
      <c r="I13" s="59"/>
      <c r="J13" s="53"/>
      <c r="K13" s="54"/>
      <c r="L13" s="30" t="s">
        <v>28</v>
      </c>
      <c r="M13" s="60"/>
      <c r="N13" s="60"/>
      <c r="O13" s="60"/>
      <c r="P13" s="60"/>
      <c r="Q13" s="60"/>
      <c r="R13" s="255"/>
      <c r="S13" s="53"/>
      <c r="T13" s="53"/>
      <c r="U13" s="54"/>
      <c r="V13" s="30" t="s">
        <v>31</v>
      </c>
      <c r="W13" s="207"/>
      <c r="X13" s="207"/>
      <c r="Y13" s="207"/>
      <c r="Z13" s="207"/>
      <c r="AA13" s="239"/>
      <c r="AB13" s="240"/>
      <c r="AC13" s="64"/>
      <c r="AD13" s="64"/>
      <c r="AE13" s="64"/>
      <c r="AF13" s="30" t="s">
        <v>32</v>
      </c>
      <c r="AG13" s="187">
        <v>614</v>
      </c>
      <c r="AH13" s="187">
        <f>912</f>
        <v>912</v>
      </c>
      <c r="AI13" s="187">
        <v>158</v>
      </c>
      <c r="AJ13" s="81">
        <f>3+2</f>
        <v>5</v>
      </c>
      <c r="AK13" s="81">
        <f>14+35</f>
        <v>49</v>
      </c>
      <c r="AL13" s="57">
        <f t="shared" ref="AL13" si="2">SUM(AG13:AK13)</f>
        <v>1738</v>
      </c>
      <c r="AM13" s="53"/>
      <c r="AN13" s="53"/>
      <c r="AO13" s="54"/>
      <c r="AP13" s="233" t="s">
        <v>24</v>
      </c>
      <c r="AQ13" s="206"/>
      <c r="AR13" s="81">
        <v>728</v>
      </c>
      <c r="AS13" s="81">
        <v>136</v>
      </c>
      <c r="AT13" s="81">
        <v>6</v>
      </c>
      <c r="AU13" s="81">
        <v>7</v>
      </c>
      <c r="AV13" s="112">
        <f>SUM(AQ13:AU13)</f>
        <v>877</v>
      </c>
      <c r="AW13" s="264"/>
      <c r="AX13" s="264"/>
      <c r="AY13" s="264"/>
      <c r="AZ13" s="30" t="s">
        <v>26</v>
      </c>
      <c r="BA13" s="213">
        <v>612</v>
      </c>
      <c r="BB13" s="213">
        <f>938</f>
        <v>938</v>
      </c>
      <c r="BC13" s="215">
        <v>214</v>
      </c>
      <c r="BD13" s="128">
        <f>7</f>
        <v>7</v>
      </c>
      <c r="BE13" s="128">
        <f>4+1</f>
        <v>5</v>
      </c>
      <c r="BF13" s="128">
        <f>SUM(BA13:BE13)</f>
        <v>1776</v>
      </c>
      <c r="BG13" s="118"/>
      <c r="BH13" s="118"/>
      <c r="BI13" s="119"/>
    </row>
    <row r="14" spans="1:61" ht="12.75" customHeight="1" x14ac:dyDescent="0.2">
      <c r="A14" s="28">
        <v>4</v>
      </c>
      <c r="B14" s="29" t="s">
        <v>27</v>
      </c>
      <c r="C14" s="275">
        <v>1045</v>
      </c>
      <c r="D14" s="206"/>
      <c r="E14" s="77">
        <v>152</v>
      </c>
      <c r="F14" s="81">
        <f>1</f>
        <v>1</v>
      </c>
      <c r="G14" s="81"/>
      <c r="H14" s="77">
        <f>SUM(C14:G14)</f>
        <v>1198</v>
      </c>
      <c r="I14" s="53"/>
      <c r="J14" s="53"/>
      <c r="K14" s="54"/>
      <c r="L14" s="30" t="s">
        <v>31</v>
      </c>
      <c r="M14" s="207"/>
      <c r="N14" s="207"/>
      <c r="O14" s="207"/>
      <c r="P14" s="207"/>
      <c r="Q14" s="239"/>
      <c r="R14" s="256"/>
      <c r="S14" s="53"/>
      <c r="T14" s="53"/>
      <c r="U14" s="54"/>
      <c r="V14" s="30" t="s">
        <v>26</v>
      </c>
      <c r="W14" s="65">
        <v>669</v>
      </c>
      <c r="X14" s="65">
        <v>962</v>
      </c>
      <c r="Y14" s="65">
        <v>198</v>
      </c>
      <c r="Z14" s="65">
        <f>3+8</f>
        <v>11</v>
      </c>
      <c r="AA14" s="65">
        <v>4</v>
      </c>
      <c r="AB14" s="57">
        <f t="shared" ref="AB14:AB15" si="3">SUM(W14:AA14)</f>
        <v>1844</v>
      </c>
      <c r="AC14" s="64"/>
      <c r="AD14" s="64"/>
      <c r="AE14" s="64"/>
      <c r="AF14" s="30" t="s">
        <v>27</v>
      </c>
      <c r="AG14" s="194">
        <v>614</v>
      </c>
      <c r="AH14" s="194">
        <v>939</v>
      </c>
      <c r="AI14" s="194">
        <v>160</v>
      </c>
      <c r="AJ14" s="194">
        <f>6+1</f>
        <v>7</v>
      </c>
      <c r="AK14" s="202">
        <v>73</v>
      </c>
      <c r="AL14" s="204">
        <f>SUM(AG14:AK14)</f>
        <v>1793</v>
      </c>
      <c r="AM14" s="55"/>
      <c r="AN14" s="55"/>
      <c r="AO14" s="55"/>
      <c r="AP14" s="233" t="s">
        <v>28</v>
      </c>
      <c r="AQ14" s="60"/>
      <c r="AR14" s="60"/>
      <c r="AS14" s="60"/>
      <c r="AT14" s="60"/>
      <c r="AU14" s="60"/>
      <c r="AV14" s="60"/>
      <c r="AW14" s="264"/>
      <c r="AX14" s="264"/>
      <c r="AY14" s="264"/>
      <c r="AZ14" s="30" t="s">
        <v>30</v>
      </c>
      <c r="BA14" s="214">
        <v>815</v>
      </c>
      <c r="BB14" s="214">
        <f>978</f>
        <v>978</v>
      </c>
      <c r="BC14" s="214">
        <v>197</v>
      </c>
      <c r="BD14" s="214">
        <f>10</f>
        <v>10</v>
      </c>
      <c r="BE14" s="214">
        <f>14+9</f>
        <v>23</v>
      </c>
      <c r="BF14" s="128">
        <f>SUM(BA14:BE14)</f>
        <v>2023</v>
      </c>
      <c r="BG14" s="118"/>
      <c r="BH14" s="118"/>
      <c r="BI14" s="119"/>
    </row>
    <row r="15" spans="1:61" ht="12.75" customHeight="1" x14ac:dyDescent="0.2">
      <c r="A15" s="28">
        <v>5</v>
      </c>
      <c r="B15" s="29" t="s">
        <v>24</v>
      </c>
      <c r="C15" s="77">
        <v>579</v>
      </c>
      <c r="D15" s="206"/>
      <c r="E15" s="77">
        <v>118</v>
      </c>
      <c r="F15" s="77" t="s">
        <v>50</v>
      </c>
      <c r="G15" s="77"/>
      <c r="H15" s="77">
        <f>SUM(C15:G15)</f>
        <v>697</v>
      </c>
      <c r="I15" s="53"/>
      <c r="J15" s="53"/>
      <c r="K15" s="54"/>
      <c r="L15" s="30" t="s">
        <v>26</v>
      </c>
      <c r="M15" s="237">
        <v>607</v>
      </c>
      <c r="N15" s="237">
        <v>867</v>
      </c>
      <c r="O15" s="237">
        <v>190</v>
      </c>
      <c r="P15" s="237">
        <f>10+2</f>
        <v>12</v>
      </c>
      <c r="Q15" s="237">
        <v>4</v>
      </c>
      <c r="R15" s="236">
        <f>SUM(M15:Q15)</f>
        <v>1680</v>
      </c>
      <c r="S15" s="179"/>
      <c r="T15" s="53"/>
      <c r="U15" s="54"/>
      <c r="V15" s="30" t="s">
        <v>30</v>
      </c>
      <c r="W15" s="65">
        <v>743</v>
      </c>
      <c r="X15" s="65">
        <v>1028</v>
      </c>
      <c r="Y15" s="65">
        <v>187</v>
      </c>
      <c r="Z15" s="65">
        <f>12+3</f>
        <v>15</v>
      </c>
      <c r="AA15" s="65">
        <f>4</f>
        <v>4</v>
      </c>
      <c r="AB15" s="57">
        <f t="shared" si="3"/>
        <v>1977</v>
      </c>
      <c r="AC15" s="64"/>
      <c r="AD15" s="64"/>
      <c r="AE15" s="64"/>
      <c r="AF15" s="30" t="s">
        <v>24</v>
      </c>
      <c r="AG15" s="206"/>
      <c r="AH15" s="194">
        <v>726</v>
      </c>
      <c r="AI15" s="194">
        <v>145</v>
      </c>
      <c r="AJ15" s="194">
        <v>6</v>
      </c>
      <c r="AK15" s="202">
        <v>31</v>
      </c>
      <c r="AL15" s="204">
        <f>SUM(AG15:AK15)</f>
        <v>908</v>
      </c>
      <c r="AM15" s="55"/>
      <c r="AN15" s="55"/>
      <c r="AO15" s="55"/>
      <c r="AP15" s="233" t="s">
        <v>31</v>
      </c>
      <c r="AQ15" s="60"/>
      <c r="AR15" s="60"/>
      <c r="AS15" s="60"/>
      <c r="AT15" s="60"/>
      <c r="AU15" s="60"/>
      <c r="AV15" s="60"/>
      <c r="AW15" s="264"/>
      <c r="AX15" s="264"/>
      <c r="AY15" s="264"/>
      <c r="AZ15" s="30" t="s">
        <v>32</v>
      </c>
      <c r="BA15" s="128">
        <v>575</v>
      </c>
      <c r="BB15" s="128">
        <f>883</f>
        <v>883</v>
      </c>
      <c r="BC15" s="128">
        <v>171</v>
      </c>
      <c r="BD15" s="128">
        <f>6</f>
        <v>6</v>
      </c>
      <c r="BE15" s="128">
        <f>6+12</f>
        <v>18</v>
      </c>
      <c r="BF15" s="128">
        <f>SUM(BA15:BE15)</f>
        <v>1653</v>
      </c>
      <c r="BG15" s="118"/>
      <c r="BH15" s="118"/>
      <c r="BI15" s="119"/>
    </row>
    <row r="16" spans="1:61" ht="12.75" customHeight="1" x14ac:dyDescent="0.2">
      <c r="A16" s="28">
        <v>6</v>
      </c>
      <c r="B16" s="29" t="s">
        <v>28</v>
      </c>
      <c r="C16" s="60"/>
      <c r="D16" s="60"/>
      <c r="E16" s="60"/>
      <c r="F16" s="60"/>
      <c r="G16" s="60"/>
      <c r="H16" s="252"/>
      <c r="I16" s="53"/>
      <c r="J16" s="53"/>
      <c r="K16" s="53"/>
      <c r="L16" s="30" t="s">
        <v>30</v>
      </c>
      <c r="M16" s="83">
        <v>799</v>
      </c>
      <c r="N16" s="65">
        <v>1018</v>
      </c>
      <c r="O16" s="65">
        <v>177</v>
      </c>
      <c r="P16" s="65">
        <f>3+10</f>
        <v>13</v>
      </c>
      <c r="Q16" s="65">
        <f>24+8</f>
        <v>32</v>
      </c>
      <c r="R16" s="260">
        <f>SUM(M16:Q16)</f>
        <v>2039</v>
      </c>
      <c r="S16" s="179"/>
      <c r="T16" s="53"/>
      <c r="U16" s="54"/>
      <c r="V16" s="30" t="s">
        <v>32</v>
      </c>
      <c r="W16" s="65">
        <v>587</v>
      </c>
      <c r="X16" s="65">
        <f>824</f>
        <v>824</v>
      </c>
      <c r="Y16" s="65">
        <v>165</v>
      </c>
      <c r="Z16" s="65">
        <f>10+2</f>
        <v>12</v>
      </c>
      <c r="AA16" s="65">
        <v>81</v>
      </c>
      <c r="AB16" s="57">
        <f t="shared" ref="AB16:AB38" si="4">SUM(W16:AA16)</f>
        <v>1669</v>
      </c>
      <c r="AC16" s="55"/>
      <c r="AD16" s="55"/>
      <c r="AE16" s="55"/>
      <c r="AF16" s="30" t="s">
        <v>28</v>
      </c>
      <c r="AG16" s="88"/>
      <c r="AH16" s="60"/>
      <c r="AI16" s="60"/>
      <c r="AJ16" s="60"/>
      <c r="AK16" s="60"/>
      <c r="AL16" s="88"/>
      <c r="AM16" s="64"/>
      <c r="AN16" s="64"/>
      <c r="AO16" s="64"/>
      <c r="AP16" s="233" t="s">
        <v>26</v>
      </c>
      <c r="AQ16" s="114">
        <v>473</v>
      </c>
      <c r="AR16" s="112">
        <f>813</f>
        <v>813</v>
      </c>
      <c r="AS16" s="112">
        <v>182</v>
      </c>
      <c r="AT16" s="112">
        <f>6</f>
        <v>6</v>
      </c>
      <c r="AU16" s="112">
        <v>1</v>
      </c>
      <c r="AV16" s="112">
        <f>SUM(AQ16:AU16)</f>
        <v>1475</v>
      </c>
      <c r="AW16" s="269"/>
      <c r="AX16" s="269"/>
      <c r="AY16" s="270"/>
      <c r="AZ16" s="30" t="s">
        <v>27</v>
      </c>
      <c r="BA16" s="128">
        <v>593</v>
      </c>
      <c r="BB16" s="128">
        <v>930</v>
      </c>
      <c r="BC16" s="128">
        <v>181</v>
      </c>
      <c r="BD16" s="128">
        <v>5</v>
      </c>
      <c r="BE16" s="128">
        <v>21</v>
      </c>
      <c r="BF16" s="128">
        <f>SUM(BA16:BE16)</f>
        <v>1730</v>
      </c>
      <c r="BG16" s="118"/>
      <c r="BH16" s="118"/>
      <c r="BI16" s="119"/>
    </row>
    <row r="17" spans="1:61" ht="12.75" customHeight="1" x14ac:dyDescent="0.2">
      <c r="A17" s="28">
        <v>7</v>
      </c>
      <c r="B17" s="29" t="s">
        <v>31</v>
      </c>
      <c r="C17" s="60"/>
      <c r="D17" s="60"/>
      <c r="E17" s="60"/>
      <c r="F17" s="60"/>
      <c r="G17" s="60"/>
      <c r="H17" s="253"/>
      <c r="I17" s="59"/>
      <c r="J17" s="53"/>
      <c r="K17" s="54"/>
      <c r="L17" s="30" t="s">
        <v>32</v>
      </c>
      <c r="M17" s="81">
        <v>595</v>
      </c>
      <c r="N17" s="81">
        <v>827</v>
      </c>
      <c r="O17" s="81">
        <v>179</v>
      </c>
      <c r="P17" s="65">
        <f>1+5</f>
        <v>6</v>
      </c>
      <c r="Q17" s="65">
        <v>31</v>
      </c>
      <c r="R17" s="69">
        <f t="shared" si="1"/>
        <v>1638</v>
      </c>
      <c r="S17" s="53"/>
      <c r="T17" s="53"/>
      <c r="U17" s="54"/>
      <c r="V17" s="30" t="s">
        <v>27</v>
      </c>
      <c r="W17" s="65">
        <v>650</v>
      </c>
      <c r="X17" s="65">
        <f>947</f>
        <v>947</v>
      </c>
      <c r="Y17" s="65">
        <v>185</v>
      </c>
      <c r="Z17" s="65">
        <f>10+1</f>
        <v>11</v>
      </c>
      <c r="AA17" s="65">
        <f>23</f>
        <v>23</v>
      </c>
      <c r="AB17" s="57">
        <f t="shared" si="4"/>
        <v>1816</v>
      </c>
      <c r="AC17" s="55"/>
      <c r="AD17" s="55"/>
      <c r="AE17" s="55"/>
      <c r="AF17" s="30" t="s">
        <v>31</v>
      </c>
      <c r="AG17" s="88"/>
      <c r="AH17" s="60"/>
      <c r="AI17" s="60"/>
      <c r="AJ17" s="60"/>
      <c r="AK17" s="60"/>
      <c r="AL17" s="88"/>
      <c r="AM17" s="64"/>
      <c r="AN17" s="64"/>
      <c r="AO17" s="64"/>
      <c r="AP17" s="233" t="s">
        <v>30</v>
      </c>
      <c r="AQ17" s="114">
        <v>527</v>
      </c>
      <c r="AR17" s="81">
        <f>739</f>
        <v>739</v>
      </c>
      <c r="AS17" s="81">
        <v>162</v>
      </c>
      <c r="AT17" s="81">
        <f>7</f>
        <v>7</v>
      </c>
      <c r="AU17" s="81">
        <f>24</f>
        <v>24</v>
      </c>
      <c r="AV17" s="112">
        <f>SUM(AQ17:AU17)</f>
        <v>1459</v>
      </c>
      <c r="AW17" s="269"/>
      <c r="AX17" s="269"/>
      <c r="AY17" s="270"/>
      <c r="AZ17" s="30" t="s">
        <v>24</v>
      </c>
      <c r="BA17" s="162">
        <v>657</v>
      </c>
      <c r="BB17" s="206"/>
      <c r="BC17" s="128">
        <v>135</v>
      </c>
      <c r="BD17" s="128">
        <v>12</v>
      </c>
      <c r="BE17" s="128">
        <f>7</f>
        <v>7</v>
      </c>
      <c r="BF17" s="128">
        <f>SUM(BA17:BE17)</f>
        <v>811</v>
      </c>
      <c r="BG17" s="118"/>
      <c r="BH17" s="118"/>
      <c r="BI17" s="119"/>
    </row>
    <row r="18" spans="1:61" ht="12.75" customHeight="1" x14ac:dyDescent="0.2">
      <c r="A18" s="28">
        <v>8</v>
      </c>
      <c r="B18" s="234" t="s">
        <v>26</v>
      </c>
      <c r="C18" s="237">
        <v>655</v>
      </c>
      <c r="D18" s="237">
        <v>974</v>
      </c>
      <c r="E18" s="237">
        <v>225</v>
      </c>
      <c r="F18" s="276">
        <f>10+1</f>
        <v>11</v>
      </c>
      <c r="G18" s="237"/>
      <c r="H18" s="236">
        <f>SUM(C18:G18)</f>
        <v>1865</v>
      </c>
      <c r="I18" s="53"/>
      <c r="J18" s="53"/>
      <c r="K18" s="54"/>
      <c r="L18" s="30" t="s">
        <v>27</v>
      </c>
      <c r="M18" s="81">
        <v>614</v>
      </c>
      <c r="N18" s="81">
        <v>905</v>
      </c>
      <c r="O18" s="81">
        <v>149</v>
      </c>
      <c r="P18" s="81">
        <f>1+10</f>
        <v>11</v>
      </c>
      <c r="Q18" s="81">
        <v>17</v>
      </c>
      <c r="R18" s="69">
        <f t="shared" si="1"/>
        <v>1696</v>
      </c>
      <c r="S18" s="53"/>
      <c r="T18" s="53"/>
      <c r="U18" s="53"/>
      <c r="V18" s="30" t="s">
        <v>24</v>
      </c>
      <c r="W18" s="206"/>
      <c r="X18" s="81">
        <v>722</v>
      </c>
      <c r="Y18" s="81">
        <v>139</v>
      </c>
      <c r="Z18" s="81">
        <f>8</f>
        <v>8</v>
      </c>
      <c r="AA18" s="81"/>
      <c r="AB18" s="57">
        <f t="shared" si="4"/>
        <v>869</v>
      </c>
      <c r="AC18" s="55"/>
      <c r="AD18" s="55"/>
      <c r="AE18" s="55"/>
      <c r="AF18" s="30" t="s">
        <v>26</v>
      </c>
      <c r="AG18" s="187">
        <v>537</v>
      </c>
      <c r="AH18" s="187">
        <f>855</f>
        <v>855</v>
      </c>
      <c r="AI18" s="187">
        <v>169</v>
      </c>
      <c r="AJ18" s="81">
        <f>5+1</f>
        <v>6</v>
      </c>
      <c r="AK18" s="81">
        <f>5</f>
        <v>5</v>
      </c>
      <c r="AL18" s="57">
        <f t="shared" ref="AL18" si="5">SUM(AG18:AK18)</f>
        <v>1572</v>
      </c>
      <c r="AM18" s="64"/>
      <c r="AN18" s="64"/>
      <c r="AO18" s="64"/>
      <c r="AP18" s="233" t="s">
        <v>32</v>
      </c>
      <c r="AQ18" s="372" t="s">
        <v>33</v>
      </c>
      <c r="AR18" s="372"/>
      <c r="AS18" s="372"/>
      <c r="AT18" s="372"/>
      <c r="AU18" s="372"/>
      <c r="AV18" s="372"/>
      <c r="AW18" s="271"/>
      <c r="AX18" s="271"/>
      <c r="AY18" s="271"/>
      <c r="AZ18" s="30" t="s">
        <v>28</v>
      </c>
      <c r="BA18" s="129"/>
      <c r="BB18" s="129"/>
      <c r="BC18" s="129"/>
      <c r="BD18" s="129"/>
      <c r="BE18" s="129"/>
      <c r="BF18" s="129"/>
      <c r="BG18" s="118"/>
      <c r="BH18" s="118"/>
      <c r="BI18" s="119"/>
    </row>
    <row r="19" spans="1:61" ht="12.75" customHeight="1" x14ac:dyDescent="0.2">
      <c r="A19" s="28">
        <v>9</v>
      </c>
      <c r="B19" s="234" t="s">
        <v>30</v>
      </c>
      <c r="C19" s="79">
        <v>760</v>
      </c>
      <c r="D19" s="79">
        <v>1069</v>
      </c>
      <c r="E19" s="79">
        <v>197</v>
      </c>
      <c r="F19" s="79">
        <f>15</f>
        <v>15</v>
      </c>
      <c r="G19" s="79">
        <f>6+9</f>
        <v>15</v>
      </c>
      <c r="H19" s="254">
        <f>SUM(C19:G19)</f>
        <v>2056</v>
      </c>
      <c r="I19" s="53"/>
      <c r="J19" s="53"/>
      <c r="K19" s="54"/>
      <c r="L19" s="30" t="s">
        <v>24</v>
      </c>
      <c r="M19" s="206"/>
      <c r="N19" s="81">
        <v>728</v>
      </c>
      <c r="O19" s="81">
        <v>139</v>
      </c>
      <c r="P19" s="81">
        <f>8</f>
        <v>8</v>
      </c>
      <c r="Q19" s="81">
        <v>1</v>
      </c>
      <c r="R19" s="69">
        <f t="shared" si="1"/>
        <v>876</v>
      </c>
      <c r="S19" s="59"/>
      <c r="T19" s="53"/>
      <c r="U19" s="54"/>
      <c r="V19" s="30" t="s">
        <v>28</v>
      </c>
      <c r="W19" s="60"/>
      <c r="X19" s="60"/>
      <c r="Y19" s="60"/>
      <c r="Z19" s="60"/>
      <c r="AA19" s="60"/>
      <c r="AB19" s="238"/>
      <c r="AC19" s="55"/>
      <c r="AD19" s="55"/>
      <c r="AE19" s="55"/>
      <c r="AF19" s="30" t="s">
        <v>30</v>
      </c>
      <c r="AG19" s="194">
        <v>610</v>
      </c>
      <c r="AH19" s="194">
        <f>1042</f>
        <v>1042</v>
      </c>
      <c r="AI19" s="194">
        <v>184</v>
      </c>
      <c r="AJ19" s="194">
        <f>7</f>
        <v>7</v>
      </c>
      <c r="AK19" s="202">
        <v>8</v>
      </c>
      <c r="AL19" s="204">
        <f>SUM(AG19:AK19)</f>
        <v>1851</v>
      </c>
      <c r="AM19" s="64"/>
      <c r="AN19" s="64"/>
      <c r="AO19" s="64"/>
      <c r="AP19" s="233" t="s">
        <v>27</v>
      </c>
      <c r="AQ19" s="127" t="s">
        <v>49</v>
      </c>
      <c r="AR19" s="127"/>
      <c r="AS19" s="127"/>
      <c r="AT19" s="127"/>
      <c r="AU19" s="127"/>
      <c r="AV19" s="99"/>
      <c r="AW19" s="105"/>
      <c r="AX19" s="105"/>
      <c r="AY19" s="54"/>
      <c r="AZ19" s="30" t="s">
        <v>31</v>
      </c>
      <c r="BA19" s="120"/>
      <c r="BB19" s="120"/>
      <c r="BC19" s="120"/>
      <c r="BD19" s="120"/>
      <c r="BE19" s="120"/>
      <c r="BF19" s="120"/>
      <c r="BG19" s="121"/>
      <c r="BH19" s="121"/>
      <c r="BI19" s="122"/>
    </row>
    <row r="20" spans="1:61" ht="12.75" customHeight="1" x14ac:dyDescent="0.2">
      <c r="A20" s="28">
        <v>10</v>
      </c>
      <c r="B20" s="234" t="s">
        <v>32</v>
      </c>
      <c r="C20" s="236">
        <v>603</v>
      </c>
      <c r="D20" s="236">
        <v>857</v>
      </c>
      <c r="E20" s="236">
        <v>187</v>
      </c>
      <c r="F20" s="236">
        <f>10</f>
        <v>10</v>
      </c>
      <c r="G20" s="236">
        <f>2</f>
        <v>2</v>
      </c>
      <c r="H20" s="236">
        <f>SUM(C20:G20)</f>
        <v>1659</v>
      </c>
      <c r="I20" s="53"/>
      <c r="J20" s="53"/>
      <c r="K20" s="54"/>
      <c r="L20" s="30" t="s">
        <v>28</v>
      </c>
      <c r="M20" s="60"/>
      <c r="N20" s="60"/>
      <c r="O20" s="60"/>
      <c r="P20" s="60"/>
      <c r="Q20" s="60"/>
      <c r="R20" s="255"/>
      <c r="S20" s="87"/>
      <c r="T20" s="87"/>
      <c r="U20" s="261"/>
      <c r="V20" s="30" t="s">
        <v>31</v>
      </c>
      <c r="W20" s="207"/>
      <c r="X20" s="207"/>
      <c r="Y20" s="207"/>
      <c r="Z20" s="207"/>
      <c r="AA20" s="239"/>
      <c r="AB20" s="240"/>
      <c r="AC20" s="55"/>
      <c r="AD20" s="55"/>
      <c r="AE20" s="55"/>
      <c r="AF20" s="30" t="s">
        <v>32</v>
      </c>
      <c r="AG20" s="187">
        <v>552</v>
      </c>
      <c r="AH20" s="187">
        <v>798</v>
      </c>
      <c r="AI20" s="187">
        <v>169</v>
      </c>
      <c r="AJ20" s="81">
        <f>5+1</f>
        <v>6</v>
      </c>
      <c r="AK20" s="81">
        <f>7+13</f>
        <v>20</v>
      </c>
      <c r="AL20" s="57">
        <f t="shared" ref="AL20" si="6">SUM(AG20:AK20)</f>
        <v>1545</v>
      </c>
      <c r="AM20" s="64"/>
      <c r="AN20" s="64"/>
      <c r="AO20" s="64"/>
      <c r="AP20" s="233" t="s">
        <v>24</v>
      </c>
      <c r="AQ20" s="228"/>
      <c r="AR20" s="225" t="s">
        <v>58</v>
      </c>
      <c r="AS20" s="226"/>
      <c r="AT20" s="226"/>
      <c r="AU20" s="226"/>
      <c r="AV20" s="226">
        <f t="shared" ref="AV20" si="7">SUM((AQ20:AU20))</f>
        <v>0</v>
      </c>
      <c r="AW20" s="105"/>
      <c r="AX20" s="105"/>
      <c r="AY20" s="106"/>
      <c r="AZ20" s="30" t="s">
        <v>26</v>
      </c>
      <c r="BA20" s="213">
        <v>594</v>
      </c>
      <c r="BB20" s="213">
        <v>981</v>
      </c>
      <c r="BC20" s="215">
        <v>187</v>
      </c>
      <c r="BD20" s="128">
        <f>6+1</f>
        <v>7</v>
      </c>
      <c r="BE20" s="128">
        <f>6+11</f>
        <v>17</v>
      </c>
      <c r="BF20" s="128">
        <f>SUM(BA20:BE20)</f>
        <v>1786</v>
      </c>
      <c r="BG20" s="118"/>
      <c r="BH20" s="118"/>
      <c r="BI20" s="119"/>
    </row>
    <row r="21" spans="1:61" ht="12.75" customHeight="1" x14ac:dyDescent="0.2">
      <c r="A21" s="28">
        <v>11</v>
      </c>
      <c r="B21" s="234" t="s">
        <v>27</v>
      </c>
      <c r="C21" s="236">
        <v>689</v>
      </c>
      <c r="D21" s="236">
        <v>959</v>
      </c>
      <c r="E21" s="236">
        <v>202</v>
      </c>
      <c r="F21" s="236">
        <f>8</f>
        <v>8</v>
      </c>
      <c r="G21" s="236">
        <f>21</f>
        <v>21</v>
      </c>
      <c r="H21" s="236">
        <f>SUM(C21:G21)</f>
        <v>1879</v>
      </c>
      <c r="I21" s="53"/>
      <c r="J21" s="53"/>
      <c r="K21" s="54"/>
      <c r="L21" s="30" t="s">
        <v>31</v>
      </c>
      <c r="M21" s="207"/>
      <c r="N21" s="207"/>
      <c r="O21" s="207"/>
      <c r="P21" s="207"/>
      <c r="Q21" s="239"/>
      <c r="R21" s="256"/>
      <c r="S21" s="87"/>
      <c r="T21" s="87"/>
      <c r="U21" s="261"/>
      <c r="V21" s="30" t="s">
        <v>26</v>
      </c>
      <c r="W21" s="65">
        <v>575</v>
      </c>
      <c r="X21" s="65">
        <v>906</v>
      </c>
      <c r="Y21" s="65">
        <v>195</v>
      </c>
      <c r="Z21" s="65">
        <f>8</f>
        <v>8</v>
      </c>
      <c r="AA21" s="65">
        <f>10+1</f>
        <v>11</v>
      </c>
      <c r="AB21" s="57">
        <f t="shared" ref="AB21:AB23" si="8">SUM(W21:AA21)</f>
        <v>1695</v>
      </c>
      <c r="AC21" s="53"/>
      <c r="AD21" s="53"/>
      <c r="AE21" s="54"/>
      <c r="AF21" s="30" t="s">
        <v>27</v>
      </c>
      <c r="AG21" s="194">
        <v>533</v>
      </c>
      <c r="AH21" s="194">
        <v>882</v>
      </c>
      <c r="AI21" s="194">
        <v>175</v>
      </c>
      <c r="AJ21" s="194">
        <f>8+1</f>
        <v>9</v>
      </c>
      <c r="AK21" s="202">
        <v>6</v>
      </c>
      <c r="AL21" s="204">
        <f>SUM(AG21:AK21)</f>
        <v>1605</v>
      </c>
      <c r="AM21" s="64"/>
      <c r="AN21" s="64"/>
      <c r="AO21" s="64"/>
      <c r="AP21" s="233" t="s">
        <v>28</v>
      </c>
      <c r="AQ21" s="60"/>
      <c r="AR21" s="60"/>
      <c r="AS21" s="60"/>
      <c r="AT21" s="60"/>
      <c r="AU21" s="60"/>
      <c r="AV21" s="60"/>
      <c r="AW21" s="105"/>
      <c r="AX21" s="105"/>
      <c r="AY21" s="106"/>
      <c r="AZ21" s="30" t="s">
        <v>30</v>
      </c>
      <c r="BA21" s="214">
        <v>733</v>
      </c>
      <c r="BB21" s="214">
        <v>986</v>
      </c>
      <c r="BC21" s="214">
        <v>209</v>
      </c>
      <c r="BD21" s="214">
        <f>6+3</f>
        <v>9</v>
      </c>
      <c r="BE21" s="214">
        <f>62</f>
        <v>62</v>
      </c>
      <c r="BF21" s="128">
        <f>SUM(BA21:BE21)</f>
        <v>1999</v>
      </c>
      <c r="BG21" s="118"/>
      <c r="BH21" s="118"/>
      <c r="BI21" s="119"/>
    </row>
    <row r="22" spans="1:61" ht="12.75" customHeight="1" x14ac:dyDescent="0.2">
      <c r="A22" s="28">
        <v>12</v>
      </c>
      <c r="B22" s="234" t="s">
        <v>24</v>
      </c>
      <c r="C22" s="206"/>
      <c r="D22" s="236">
        <v>783</v>
      </c>
      <c r="E22" s="236">
        <v>164</v>
      </c>
      <c r="F22" s="236">
        <f>8</f>
        <v>8</v>
      </c>
      <c r="G22" s="236">
        <f>8</f>
        <v>8</v>
      </c>
      <c r="H22" s="236">
        <f>SUM(C22:G22)</f>
        <v>963</v>
      </c>
      <c r="I22" s="53"/>
      <c r="J22" s="53"/>
      <c r="K22" s="54"/>
      <c r="L22" s="30" t="s">
        <v>26</v>
      </c>
      <c r="M22" s="237">
        <v>525</v>
      </c>
      <c r="N22" s="237">
        <v>839</v>
      </c>
      <c r="O22" s="237">
        <v>153</v>
      </c>
      <c r="P22" s="237">
        <f>0+8</f>
        <v>8</v>
      </c>
      <c r="Q22" s="237">
        <f>11+6</f>
        <v>17</v>
      </c>
      <c r="R22" s="236">
        <f>SUM(M22:Q22)</f>
        <v>1542</v>
      </c>
      <c r="S22" s="87"/>
      <c r="T22" s="87"/>
      <c r="U22" s="87"/>
      <c r="V22" s="30" t="s">
        <v>30</v>
      </c>
      <c r="W22" s="65">
        <v>727</v>
      </c>
      <c r="X22" s="65">
        <v>1030</v>
      </c>
      <c r="Y22" s="65">
        <v>184</v>
      </c>
      <c r="Z22" s="65">
        <f>1+5+1</f>
        <v>7</v>
      </c>
      <c r="AA22" s="65">
        <v>38</v>
      </c>
      <c r="AB22" s="57">
        <f t="shared" si="8"/>
        <v>1986</v>
      </c>
      <c r="AC22" s="53"/>
      <c r="AD22" s="53"/>
      <c r="AE22" s="54"/>
      <c r="AF22" s="30" t="s">
        <v>24</v>
      </c>
      <c r="AG22" s="194">
        <v>583</v>
      </c>
      <c r="AH22" s="206"/>
      <c r="AI22" s="194">
        <v>111</v>
      </c>
      <c r="AJ22" s="194">
        <f>8+1</f>
        <v>9</v>
      </c>
      <c r="AK22" s="202">
        <v>3</v>
      </c>
      <c r="AL22" s="204">
        <f>SUM(AG22:AK22)</f>
        <v>706</v>
      </c>
      <c r="AM22" s="64"/>
      <c r="AN22" s="64"/>
      <c r="AO22" s="64"/>
      <c r="AP22" s="233" t="s">
        <v>31</v>
      </c>
      <c r="AQ22" s="60"/>
      <c r="AR22" s="60"/>
      <c r="AS22" s="60"/>
      <c r="AT22" s="60"/>
      <c r="AU22" s="60"/>
      <c r="AV22" s="60"/>
      <c r="AW22" s="107"/>
      <c r="AX22" s="107"/>
      <c r="AY22" s="106"/>
      <c r="AZ22" s="30" t="s">
        <v>32</v>
      </c>
      <c r="BA22" s="128">
        <v>617</v>
      </c>
      <c r="BB22" s="128">
        <v>829</v>
      </c>
      <c r="BC22" s="128">
        <v>156</v>
      </c>
      <c r="BD22" s="128">
        <f>5+0</f>
        <v>5</v>
      </c>
      <c r="BE22" s="293">
        <f>32+2</f>
        <v>34</v>
      </c>
      <c r="BF22" s="128">
        <f>SUM(BA22:BE22)</f>
        <v>1641</v>
      </c>
      <c r="BG22" s="118"/>
      <c r="BH22" s="118"/>
      <c r="BI22" s="119"/>
    </row>
    <row r="23" spans="1:61" ht="12.75" customHeight="1" x14ac:dyDescent="0.2">
      <c r="A23" s="28">
        <v>13</v>
      </c>
      <c r="B23" s="29" t="s">
        <v>28</v>
      </c>
      <c r="C23" s="60"/>
      <c r="D23" s="60"/>
      <c r="E23" s="60"/>
      <c r="F23" s="60"/>
      <c r="G23" s="60"/>
      <c r="H23" s="252"/>
      <c r="I23" s="53"/>
      <c r="J23" s="53"/>
      <c r="K23" s="54"/>
      <c r="L23" s="30" t="s">
        <v>30</v>
      </c>
      <c r="M23" s="81">
        <v>709</v>
      </c>
      <c r="N23" s="81">
        <f>929</f>
        <v>929</v>
      </c>
      <c r="O23" s="81">
        <v>174</v>
      </c>
      <c r="P23" s="81">
        <f>7+1</f>
        <v>8</v>
      </c>
      <c r="Q23" s="81">
        <f>16+2</f>
        <v>18</v>
      </c>
      <c r="R23" s="257">
        <f>SUM(M23:Q23)</f>
        <v>1838</v>
      </c>
      <c r="S23" s="262"/>
      <c r="T23" s="87"/>
      <c r="U23" s="261"/>
      <c r="V23" s="30" t="s">
        <v>32</v>
      </c>
      <c r="W23" s="81">
        <v>589</v>
      </c>
      <c r="X23" s="81">
        <v>792</v>
      </c>
      <c r="Y23" s="81">
        <v>135</v>
      </c>
      <c r="Z23" s="81">
        <f>2+8</f>
        <v>10</v>
      </c>
      <c r="AA23" s="81">
        <v>49</v>
      </c>
      <c r="AB23" s="57">
        <f t="shared" si="8"/>
        <v>1575</v>
      </c>
      <c r="AC23" s="53"/>
      <c r="AD23" s="53"/>
      <c r="AE23" s="54"/>
      <c r="AF23" s="30" t="s">
        <v>28</v>
      </c>
      <c r="AG23" s="88"/>
      <c r="AH23" s="60"/>
      <c r="AI23" s="60"/>
      <c r="AJ23" s="60"/>
      <c r="AK23" s="60"/>
      <c r="AL23" s="88"/>
      <c r="AM23" s="64"/>
      <c r="AN23" s="64"/>
      <c r="AO23" s="64"/>
      <c r="AP23" s="233" t="s">
        <v>26</v>
      </c>
      <c r="AQ23" s="114">
        <v>601</v>
      </c>
      <c r="AR23" s="112">
        <v>915</v>
      </c>
      <c r="AS23" s="112">
        <v>165</v>
      </c>
      <c r="AT23" s="112">
        <f>6</f>
        <v>6</v>
      </c>
      <c r="AU23" s="112">
        <f>60</f>
        <v>60</v>
      </c>
      <c r="AV23" s="112">
        <f>SUM(AQ23:AU23)</f>
        <v>1747</v>
      </c>
      <c r="AW23" s="108"/>
      <c r="AX23" s="108"/>
      <c r="AY23" s="106"/>
      <c r="AZ23" s="30" t="s">
        <v>27</v>
      </c>
      <c r="BA23" s="128">
        <v>610</v>
      </c>
      <c r="BB23" s="128">
        <v>959</v>
      </c>
      <c r="BC23" s="128">
        <v>189</v>
      </c>
      <c r="BD23" s="128">
        <f>2+6</f>
        <v>8</v>
      </c>
      <c r="BE23" s="128">
        <f>4+40</f>
        <v>44</v>
      </c>
      <c r="BF23" s="128">
        <f>SUM(BA23:BE23)</f>
        <v>1810</v>
      </c>
      <c r="BG23" s="118"/>
      <c r="BH23" s="118"/>
      <c r="BI23" s="119"/>
    </row>
    <row r="24" spans="1:61" ht="12.75" customHeight="1" x14ac:dyDescent="0.2">
      <c r="A24" s="28">
        <v>14</v>
      </c>
      <c r="B24" s="29" t="s">
        <v>31</v>
      </c>
      <c r="C24" s="60"/>
      <c r="D24" s="60"/>
      <c r="E24" s="60"/>
      <c r="F24" s="60"/>
      <c r="G24" s="60"/>
      <c r="H24" s="253"/>
      <c r="I24" s="53"/>
      <c r="J24" s="53"/>
      <c r="K24" s="54"/>
      <c r="L24" s="30" t="s">
        <v>32</v>
      </c>
      <c r="M24" s="81">
        <v>534</v>
      </c>
      <c r="N24" s="81">
        <f>689</f>
        <v>689</v>
      </c>
      <c r="O24" s="275">
        <v>153</v>
      </c>
      <c r="P24" s="81">
        <f>8</f>
        <v>8</v>
      </c>
      <c r="Q24" s="81">
        <f>2+1</f>
        <v>3</v>
      </c>
      <c r="R24" s="69">
        <f t="shared" si="1"/>
        <v>1387</v>
      </c>
      <c r="S24" s="87"/>
      <c r="T24" s="87"/>
      <c r="U24" s="261"/>
      <c r="V24" s="30" t="s">
        <v>27</v>
      </c>
      <c r="W24" s="65">
        <v>536</v>
      </c>
      <c r="X24" s="65">
        <v>954</v>
      </c>
      <c r="Y24" s="65">
        <v>155</v>
      </c>
      <c r="Z24" s="65">
        <f>2+8</f>
        <v>10</v>
      </c>
      <c r="AA24" s="65">
        <f>16+29</f>
        <v>45</v>
      </c>
      <c r="AB24" s="57">
        <f t="shared" si="4"/>
        <v>1700</v>
      </c>
      <c r="AC24" s="53"/>
      <c r="AD24" s="53"/>
      <c r="AE24" s="54"/>
      <c r="AF24" s="30" t="s">
        <v>31</v>
      </c>
      <c r="AG24" s="88"/>
      <c r="AH24" s="60"/>
      <c r="AI24" s="60"/>
      <c r="AJ24" s="60"/>
      <c r="AK24" s="60"/>
      <c r="AL24" s="88"/>
      <c r="AM24" s="64"/>
      <c r="AN24" s="64"/>
      <c r="AO24" s="64"/>
      <c r="AP24" s="233" t="s">
        <v>30</v>
      </c>
      <c r="AQ24" s="114">
        <v>727</v>
      </c>
      <c r="AR24" s="81">
        <v>1024</v>
      </c>
      <c r="AS24" s="81">
        <v>211</v>
      </c>
      <c r="AT24" s="81">
        <f>8</f>
        <v>8</v>
      </c>
      <c r="AU24" s="81">
        <v>46</v>
      </c>
      <c r="AV24" s="112">
        <f>SUM(AQ24:AU24)</f>
        <v>2016</v>
      </c>
      <c r="AW24" s="110"/>
      <c r="AX24" s="110"/>
      <c r="AY24" s="111"/>
      <c r="AZ24" s="30" t="s">
        <v>24</v>
      </c>
      <c r="BA24" s="206"/>
      <c r="BB24" s="128">
        <f>674</f>
        <v>674</v>
      </c>
      <c r="BC24" s="128">
        <v>141</v>
      </c>
      <c r="BD24" s="128">
        <f>5</f>
        <v>5</v>
      </c>
      <c r="BE24" s="128">
        <f>4</f>
        <v>4</v>
      </c>
      <c r="BF24" s="128">
        <f>SUM(BA24:BE24)</f>
        <v>824</v>
      </c>
      <c r="BG24" s="118"/>
      <c r="BH24" s="118"/>
      <c r="BI24" s="119"/>
    </row>
    <row r="25" spans="1:61" ht="12.75" customHeight="1" x14ac:dyDescent="0.2">
      <c r="A25" s="28">
        <v>15</v>
      </c>
      <c r="B25" s="29" t="s">
        <v>26</v>
      </c>
      <c r="C25" s="86">
        <v>619</v>
      </c>
      <c r="D25" s="86">
        <f>961</f>
        <v>961</v>
      </c>
      <c r="E25" s="86">
        <v>183</v>
      </c>
      <c r="F25" s="86">
        <f>3+10</f>
        <v>13</v>
      </c>
      <c r="G25" s="86">
        <f>7</f>
        <v>7</v>
      </c>
      <c r="H25" s="235">
        <f>SUM(C25:G25)</f>
        <v>1783</v>
      </c>
      <c r="I25" s="53"/>
      <c r="J25" s="53"/>
      <c r="K25" s="54"/>
      <c r="L25" s="30" t="s">
        <v>27</v>
      </c>
      <c r="M25" s="81">
        <v>501</v>
      </c>
      <c r="N25" s="81">
        <v>821</v>
      </c>
      <c r="O25" s="81">
        <v>183</v>
      </c>
      <c r="P25" s="81">
        <f>8</f>
        <v>8</v>
      </c>
      <c r="Q25" s="81">
        <f>21+15</f>
        <v>36</v>
      </c>
      <c r="R25" s="69">
        <f t="shared" si="1"/>
        <v>1549</v>
      </c>
      <c r="S25" s="390"/>
      <c r="T25" s="390"/>
      <c r="U25" s="390"/>
      <c r="V25" s="30" t="s">
        <v>24</v>
      </c>
      <c r="W25" s="81">
        <v>734</v>
      </c>
      <c r="X25" s="206"/>
      <c r="Y25" s="81">
        <v>144</v>
      </c>
      <c r="Z25" s="81">
        <f>4+8</f>
        <v>12</v>
      </c>
      <c r="AA25" s="81"/>
      <c r="AB25" s="57">
        <f t="shared" si="4"/>
        <v>890</v>
      </c>
      <c r="AC25" s="53"/>
      <c r="AD25" s="53"/>
      <c r="AE25" s="54"/>
      <c r="AF25" s="30" t="s">
        <v>26</v>
      </c>
      <c r="AG25" s="187">
        <v>502</v>
      </c>
      <c r="AH25" s="187">
        <v>814</v>
      </c>
      <c r="AI25" s="187">
        <v>164</v>
      </c>
      <c r="AJ25" s="81">
        <f>6</f>
        <v>6</v>
      </c>
      <c r="AK25" s="81"/>
      <c r="AL25" s="57">
        <f t="shared" ref="AL25" si="9">SUM(AG25:AK25)</f>
        <v>1486</v>
      </c>
      <c r="AM25" s="100"/>
      <c r="AN25" s="101"/>
      <c r="AO25" s="101"/>
      <c r="AP25" s="233" t="s">
        <v>32</v>
      </c>
      <c r="AQ25" s="69">
        <v>590</v>
      </c>
      <c r="AR25" s="69">
        <v>798</v>
      </c>
      <c r="AS25" s="69">
        <v>165</v>
      </c>
      <c r="AT25" s="69">
        <f>6</f>
        <v>6</v>
      </c>
      <c r="AU25" s="69">
        <v>101</v>
      </c>
      <c r="AV25" s="112">
        <f>SUM(AQ25:AU25)</f>
        <v>1660</v>
      </c>
      <c r="AW25" s="105"/>
      <c r="AX25" s="105"/>
      <c r="AY25" s="106"/>
      <c r="AZ25" s="30" t="s">
        <v>28</v>
      </c>
      <c r="BA25" s="129"/>
      <c r="BB25" s="129"/>
      <c r="BC25" s="129"/>
      <c r="BD25" s="129"/>
      <c r="BE25" s="129"/>
      <c r="BF25" s="129"/>
      <c r="BG25" s="118"/>
      <c r="BH25" s="118"/>
      <c r="BI25" s="119"/>
    </row>
    <row r="26" spans="1:61" ht="12.75" customHeight="1" x14ac:dyDescent="0.2">
      <c r="A26" s="28">
        <v>16</v>
      </c>
      <c r="B26" s="234" t="s">
        <v>30</v>
      </c>
      <c r="C26" s="79">
        <v>814</v>
      </c>
      <c r="D26" s="79">
        <f>1047</f>
        <v>1047</v>
      </c>
      <c r="E26" s="79">
        <v>205</v>
      </c>
      <c r="F26" s="79">
        <f>10</f>
        <v>10</v>
      </c>
      <c r="G26" s="79">
        <f>8</f>
        <v>8</v>
      </c>
      <c r="H26" s="254">
        <f>SUM(C26:G26)</f>
        <v>2084</v>
      </c>
      <c r="I26" s="53"/>
      <c r="J26" s="53"/>
      <c r="K26" s="54"/>
      <c r="L26" s="30" t="s">
        <v>24</v>
      </c>
      <c r="M26" s="81">
        <v>621</v>
      </c>
      <c r="N26" s="206"/>
      <c r="O26" s="81">
        <v>113</v>
      </c>
      <c r="P26" s="81">
        <v>0</v>
      </c>
      <c r="Q26" s="81">
        <f>2</f>
        <v>2</v>
      </c>
      <c r="R26" s="69">
        <f t="shared" si="1"/>
        <v>736</v>
      </c>
      <c r="S26" s="390"/>
      <c r="T26" s="390"/>
      <c r="U26" s="390"/>
      <c r="V26" s="30" t="s">
        <v>28</v>
      </c>
      <c r="W26" s="60"/>
      <c r="X26" s="60"/>
      <c r="Y26" s="60"/>
      <c r="Z26" s="60"/>
      <c r="AA26" s="60"/>
      <c r="AB26" s="238"/>
      <c r="AC26" s="53"/>
      <c r="AD26" s="53"/>
      <c r="AE26" s="54"/>
      <c r="AF26" s="30" t="s">
        <v>30</v>
      </c>
      <c r="AG26" s="194">
        <v>639</v>
      </c>
      <c r="AH26" s="194">
        <f>980</f>
        <v>980</v>
      </c>
      <c r="AI26" s="194">
        <v>183</v>
      </c>
      <c r="AJ26" s="194">
        <f>6+2</f>
        <v>8</v>
      </c>
      <c r="AK26" s="202">
        <f>9</f>
        <v>9</v>
      </c>
      <c r="AL26" s="204">
        <f>SUM(AG26:AK26)</f>
        <v>1819</v>
      </c>
      <c r="AM26" s="64"/>
      <c r="AN26" s="64"/>
      <c r="AO26" s="64"/>
      <c r="AP26" s="233" t="s">
        <v>27</v>
      </c>
      <c r="AQ26" s="65">
        <v>604</v>
      </c>
      <c r="AR26" s="65">
        <v>866</v>
      </c>
      <c r="AS26" s="205">
        <v>181</v>
      </c>
      <c r="AT26" s="65">
        <f>8</f>
        <v>8</v>
      </c>
      <c r="AU26" s="65">
        <f>48+13</f>
        <v>61</v>
      </c>
      <c r="AV26" s="112">
        <f>SUM(AQ26:AU26)</f>
        <v>1720</v>
      </c>
      <c r="AW26" s="89"/>
      <c r="AX26" s="89"/>
      <c r="AY26" s="89"/>
      <c r="AZ26" s="30" t="s">
        <v>31</v>
      </c>
      <c r="BA26" s="120"/>
      <c r="BB26" s="120"/>
      <c r="BC26" s="120"/>
      <c r="BD26" s="120"/>
      <c r="BE26" s="120"/>
      <c r="BF26" s="120"/>
      <c r="BG26" s="118"/>
      <c r="BH26" s="118"/>
      <c r="BI26" s="119"/>
    </row>
    <row r="27" spans="1:61" ht="12.75" customHeight="1" x14ac:dyDescent="0.2">
      <c r="A27" s="28">
        <v>17</v>
      </c>
      <c r="B27" s="234" t="s">
        <v>32</v>
      </c>
      <c r="C27" s="236">
        <v>528</v>
      </c>
      <c r="D27" s="236">
        <f>746</f>
        <v>746</v>
      </c>
      <c r="E27" s="236">
        <v>120</v>
      </c>
      <c r="F27" s="236">
        <f>9</f>
        <v>9</v>
      </c>
      <c r="G27" s="236">
        <f>8+24</f>
        <v>32</v>
      </c>
      <c r="H27" s="236">
        <f>SUM(C27:G27)</f>
        <v>1435</v>
      </c>
      <c r="I27" s="53"/>
      <c r="J27" s="53"/>
      <c r="K27" s="54"/>
      <c r="L27" s="30" t="s">
        <v>28</v>
      </c>
      <c r="M27" s="60"/>
      <c r="N27" s="60"/>
      <c r="O27" s="60"/>
      <c r="P27" s="60"/>
      <c r="Q27" s="60"/>
      <c r="R27" s="255"/>
      <c r="S27" s="390"/>
      <c r="T27" s="390"/>
      <c r="U27" s="390"/>
      <c r="V27" s="30" t="s">
        <v>31</v>
      </c>
      <c r="W27" s="207"/>
      <c r="X27" s="207"/>
      <c r="Y27" s="207"/>
      <c r="Z27" s="207"/>
      <c r="AA27" s="239"/>
      <c r="AB27" s="240"/>
      <c r="AC27" s="53"/>
      <c r="AD27" s="53"/>
      <c r="AE27" s="54"/>
      <c r="AF27" s="30" t="s">
        <v>32</v>
      </c>
      <c r="AG27" s="187">
        <v>561</v>
      </c>
      <c r="AH27" s="187">
        <v>760</v>
      </c>
      <c r="AI27" s="187">
        <v>171</v>
      </c>
      <c r="AJ27" s="81">
        <f>6+1</f>
        <v>7</v>
      </c>
      <c r="AK27" s="81"/>
      <c r="AL27" s="57">
        <f t="shared" ref="AL27" si="10">SUM(AG27:AK27)</f>
        <v>1499</v>
      </c>
      <c r="AM27" s="64"/>
      <c r="AN27" s="64"/>
      <c r="AO27" s="64"/>
      <c r="AP27" s="233" t="s">
        <v>24</v>
      </c>
      <c r="AQ27" s="206"/>
      <c r="AR27" s="81">
        <v>675</v>
      </c>
      <c r="AS27" s="81">
        <v>144</v>
      </c>
      <c r="AT27" s="81">
        <f>5</f>
        <v>5</v>
      </c>
      <c r="AU27" s="81">
        <v>45</v>
      </c>
      <c r="AV27" s="112">
        <f>SUM(AQ27:AU27)</f>
        <v>869</v>
      </c>
      <c r="AW27" s="93"/>
      <c r="AX27" s="93"/>
      <c r="AY27" s="93"/>
      <c r="AZ27" s="30" t="s">
        <v>26</v>
      </c>
      <c r="BA27" s="213">
        <v>600</v>
      </c>
      <c r="BB27" s="213">
        <v>961</v>
      </c>
      <c r="BC27" s="215">
        <v>194</v>
      </c>
      <c r="BD27" s="128">
        <f>0+6</f>
        <v>6</v>
      </c>
      <c r="BE27" s="128">
        <v>64</v>
      </c>
      <c r="BF27" s="128">
        <f>SUM(BA27:BE27)</f>
        <v>1825</v>
      </c>
      <c r="BG27" s="118"/>
      <c r="BH27" s="118"/>
      <c r="BI27" s="119"/>
    </row>
    <row r="28" spans="1:61" ht="12.75" customHeight="1" x14ac:dyDescent="0.2">
      <c r="A28" s="28">
        <v>18</v>
      </c>
      <c r="B28" s="234" t="s">
        <v>27</v>
      </c>
      <c r="C28" s="236">
        <v>524</v>
      </c>
      <c r="D28" s="236">
        <v>843</v>
      </c>
      <c r="E28" s="236">
        <v>158</v>
      </c>
      <c r="F28" s="236">
        <v>0</v>
      </c>
      <c r="G28" s="236">
        <v>44</v>
      </c>
      <c r="H28" s="236">
        <f>SUM(C28:G28)</f>
        <v>1569</v>
      </c>
      <c r="I28" s="53"/>
      <c r="J28" s="53"/>
      <c r="K28" s="54"/>
      <c r="L28" s="30" t="s">
        <v>31</v>
      </c>
      <c r="M28" s="207"/>
      <c r="N28" s="207"/>
      <c r="O28" s="207"/>
      <c r="P28" s="207"/>
      <c r="Q28" s="239"/>
      <c r="R28" s="256"/>
      <c r="S28" s="390"/>
      <c r="T28" s="390"/>
      <c r="U28" s="390"/>
      <c r="V28" s="30" t="s">
        <v>26</v>
      </c>
      <c r="W28" s="205">
        <v>618</v>
      </c>
      <c r="X28" s="205">
        <v>870</v>
      </c>
      <c r="Y28" s="205">
        <v>172</v>
      </c>
      <c r="Z28" s="205">
        <v>8</v>
      </c>
      <c r="AA28" s="205">
        <v>10</v>
      </c>
      <c r="AB28" s="69">
        <f t="shared" ref="AB28:AB29" si="11">SUM(W28:AA28)</f>
        <v>1678</v>
      </c>
      <c r="AC28" s="53"/>
      <c r="AD28" s="53"/>
      <c r="AE28" s="54"/>
      <c r="AF28" s="30" t="s">
        <v>27</v>
      </c>
      <c r="AG28" s="194">
        <v>580</v>
      </c>
      <c r="AH28" s="194">
        <v>825</v>
      </c>
      <c r="AI28" s="194">
        <v>179</v>
      </c>
      <c r="AJ28" s="194">
        <f>6+1</f>
        <v>7</v>
      </c>
      <c r="AK28" s="202">
        <v>6</v>
      </c>
      <c r="AL28" s="204">
        <f>SUM(AG28:AK28)</f>
        <v>1597</v>
      </c>
      <c r="AM28" s="64"/>
      <c r="AN28" s="64"/>
      <c r="AO28" s="64"/>
      <c r="AP28" s="233" t="s">
        <v>28</v>
      </c>
      <c r="AQ28" s="60"/>
      <c r="AR28" s="60"/>
      <c r="AS28" s="60"/>
      <c r="AT28" s="60"/>
      <c r="AU28" s="60"/>
      <c r="AV28" s="60"/>
      <c r="AW28" s="105"/>
      <c r="AX28" s="105"/>
      <c r="AY28" s="106"/>
      <c r="AZ28" s="30" t="s">
        <v>30</v>
      </c>
      <c r="BA28" s="214">
        <v>751</v>
      </c>
      <c r="BB28" s="214">
        <v>1035</v>
      </c>
      <c r="BC28" s="214">
        <v>198</v>
      </c>
      <c r="BD28" s="214">
        <f>8+2</f>
        <v>10</v>
      </c>
      <c r="BE28" s="214">
        <v>71</v>
      </c>
      <c r="BF28" s="128">
        <f>SUM(BA28:BE28)</f>
        <v>2065</v>
      </c>
      <c r="BG28" s="118"/>
      <c r="BH28" s="118"/>
      <c r="BI28" s="119"/>
    </row>
    <row r="29" spans="1:61" ht="12.75" customHeight="1" x14ac:dyDescent="0.2">
      <c r="A29" s="28">
        <v>19</v>
      </c>
      <c r="B29" s="234" t="s">
        <v>24</v>
      </c>
      <c r="C29" s="236">
        <v>805</v>
      </c>
      <c r="D29" s="206"/>
      <c r="E29" s="236">
        <v>128</v>
      </c>
      <c r="F29" s="236"/>
      <c r="G29" s="236">
        <v>34</v>
      </c>
      <c r="H29" s="236">
        <f>SUM(C29:G29)</f>
        <v>967</v>
      </c>
      <c r="I29" s="53"/>
      <c r="J29" s="53"/>
      <c r="K29" s="54"/>
      <c r="L29" s="30" t="s">
        <v>26</v>
      </c>
      <c r="M29" s="237">
        <v>501</v>
      </c>
      <c r="N29" s="281">
        <v>777</v>
      </c>
      <c r="O29" s="237">
        <v>163</v>
      </c>
      <c r="P29" s="237">
        <f>5</f>
        <v>5</v>
      </c>
      <c r="Q29" s="237">
        <f>0</f>
        <v>0</v>
      </c>
      <c r="R29" s="236">
        <f>SUM(M29:Q29)</f>
        <v>1446</v>
      </c>
      <c r="S29" s="390"/>
      <c r="T29" s="390"/>
      <c r="U29" s="390"/>
      <c r="V29" s="30" t="s">
        <v>30</v>
      </c>
      <c r="W29" s="69">
        <v>761</v>
      </c>
      <c r="X29" s="69">
        <v>983</v>
      </c>
      <c r="Y29" s="69">
        <v>177</v>
      </c>
      <c r="Z29" s="69">
        <v>8</v>
      </c>
      <c r="AA29" s="69">
        <v>2</v>
      </c>
      <c r="AB29" s="69">
        <f t="shared" si="11"/>
        <v>1931</v>
      </c>
      <c r="AC29" s="53"/>
      <c r="AD29" s="53"/>
      <c r="AE29" s="54"/>
      <c r="AF29" s="30" t="s">
        <v>24</v>
      </c>
      <c r="AG29" s="206"/>
      <c r="AH29" s="194">
        <v>597</v>
      </c>
      <c r="AI29" s="194">
        <v>110</v>
      </c>
      <c r="AJ29" s="194">
        <f>5</f>
        <v>5</v>
      </c>
      <c r="AK29" s="202">
        <v>97</v>
      </c>
      <c r="AL29" s="204">
        <f>SUM(AG29:AK29)</f>
        <v>809</v>
      </c>
      <c r="AM29" s="64"/>
      <c r="AN29" s="64"/>
      <c r="AO29" s="64"/>
      <c r="AP29" s="233" t="s">
        <v>31</v>
      </c>
      <c r="AQ29" s="60"/>
      <c r="AR29" s="60"/>
      <c r="AS29" s="60"/>
      <c r="AT29" s="60"/>
      <c r="AU29" s="60"/>
      <c r="AV29" s="60"/>
      <c r="AW29" s="105"/>
      <c r="AX29" s="105"/>
      <c r="AY29" s="106"/>
      <c r="AZ29" s="30" t="s">
        <v>32</v>
      </c>
      <c r="BA29" s="128">
        <v>534</v>
      </c>
      <c r="BB29" s="128">
        <v>804</v>
      </c>
      <c r="BC29" s="128">
        <v>199</v>
      </c>
      <c r="BD29" s="128">
        <f>6+2</f>
        <v>8</v>
      </c>
      <c r="BE29" s="128">
        <v>47</v>
      </c>
      <c r="BF29" s="128">
        <f>SUM(BA29:BE29)</f>
        <v>1592</v>
      </c>
      <c r="BG29" s="118"/>
      <c r="BH29" s="118"/>
      <c r="BI29" s="119"/>
    </row>
    <row r="30" spans="1:61" ht="12.75" customHeight="1" x14ac:dyDescent="0.2">
      <c r="A30" s="28">
        <v>20</v>
      </c>
      <c r="B30" s="234" t="s">
        <v>28</v>
      </c>
      <c r="C30" s="60"/>
      <c r="D30" s="60"/>
      <c r="E30" s="60"/>
      <c r="F30" s="60"/>
      <c r="G30" s="60"/>
      <c r="H30" s="255"/>
      <c r="I30" s="53"/>
      <c r="J30" s="53"/>
      <c r="K30" s="54"/>
      <c r="L30" s="30" t="s">
        <v>30</v>
      </c>
      <c r="M30" s="61">
        <v>630</v>
      </c>
      <c r="N30" s="257">
        <v>924</v>
      </c>
      <c r="O30" s="61">
        <v>173</v>
      </c>
      <c r="P30" s="61">
        <f>5+2</f>
        <v>7</v>
      </c>
      <c r="Q30" s="61">
        <v>0</v>
      </c>
      <c r="R30" s="257">
        <f>SUM(M30:Q30)</f>
        <v>1734</v>
      </c>
      <c r="S30" s="390"/>
      <c r="T30" s="390"/>
      <c r="U30" s="390"/>
      <c r="V30" s="30" t="s">
        <v>32</v>
      </c>
      <c r="W30" s="69">
        <v>587</v>
      </c>
      <c r="X30" s="69">
        <v>801</v>
      </c>
      <c r="Y30" s="69">
        <v>164</v>
      </c>
      <c r="Z30" s="69"/>
      <c r="AA30" s="69">
        <f>7+16+6</f>
        <v>29</v>
      </c>
      <c r="AB30" s="69">
        <f t="shared" si="4"/>
        <v>1581</v>
      </c>
      <c r="AC30" s="53"/>
      <c r="AD30" s="53"/>
      <c r="AE30" s="54"/>
      <c r="AF30" s="30" t="s">
        <v>28</v>
      </c>
      <c r="AG30" s="193"/>
      <c r="AH30" s="193"/>
      <c r="AI30" s="193"/>
      <c r="AJ30" s="193"/>
      <c r="AK30" s="193"/>
      <c r="AL30" s="60"/>
      <c r="AM30" s="64"/>
      <c r="AN30" s="64"/>
      <c r="AO30" s="64"/>
      <c r="AP30" s="233" t="s">
        <v>26</v>
      </c>
      <c r="AQ30" s="127" t="s">
        <v>55</v>
      </c>
      <c r="AR30" s="127"/>
      <c r="AS30" s="127"/>
      <c r="AT30" s="127"/>
      <c r="AU30" s="127"/>
      <c r="AV30" s="99"/>
      <c r="AW30" s="89"/>
      <c r="AX30" s="89"/>
      <c r="AY30" s="89"/>
      <c r="AZ30" s="30" t="s">
        <v>27</v>
      </c>
      <c r="BA30" s="128">
        <v>546</v>
      </c>
      <c r="BB30" s="128">
        <v>982</v>
      </c>
      <c r="BC30" s="128">
        <v>193</v>
      </c>
      <c r="BD30" s="128">
        <f>8</f>
        <v>8</v>
      </c>
      <c r="BE30" s="128">
        <f>4+12</f>
        <v>16</v>
      </c>
      <c r="BF30" s="128">
        <f>SUM(BA30:BE30)</f>
        <v>1745</v>
      </c>
      <c r="BG30" s="118"/>
      <c r="BH30" s="118"/>
      <c r="BI30" s="119"/>
    </row>
    <row r="31" spans="1:61" ht="12.75" customHeight="1" x14ac:dyDescent="0.2">
      <c r="A31" s="28">
        <v>21</v>
      </c>
      <c r="B31" s="29" t="s">
        <v>31</v>
      </c>
      <c r="C31" s="207"/>
      <c r="D31" s="207"/>
      <c r="E31" s="207"/>
      <c r="F31" s="207"/>
      <c r="G31" s="239"/>
      <c r="H31" s="256"/>
      <c r="I31" s="53"/>
      <c r="J31" s="53"/>
      <c r="K31" s="54"/>
      <c r="L31" s="30" t="s">
        <v>32</v>
      </c>
      <c r="M31" s="65">
        <v>523</v>
      </c>
      <c r="N31" s="59">
        <v>752</v>
      </c>
      <c r="O31" s="65">
        <v>159</v>
      </c>
      <c r="P31" s="65">
        <f>7</f>
        <v>7</v>
      </c>
      <c r="Q31" s="65">
        <f>9</f>
        <v>9</v>
      </c>
      <c r="R31" s="69">
        <f t="shared" si="1"/>
        <v>1450</v>
      </c>
      <c r="S31" s="390"/>
      <c r="T31" s="390"/>
      <c r="U31" s="390"/>
      <c r="V31" s="30" t="s">
        <v>27</v>
      </c>
      <c r="W31" s="205">
        <v>550</v>
      </c>
      <c r="X31" s="205">
        <v>885</v>
      </c>
      <c r="Y31" s="205">
        <v>158</v>
      </c>
      <c r="Z31" s="205">
        <v>6</v>
      </c>
      <c r="AA31" s="205">
        <v>22</v>
      </c>
      <c r="AB31" s="69">
        <f t="shared" si="4"/>
        <v>1621</v>
      </c>
      <c r="AC31" s="53"/>
      <c r="AD31" s="53"/>
      <c r="AE31" s="54"/>
      <c r="AF31" s="30" t="s">
        <v>31</v>
      </c>
      <c r="AG31" s="193"/>
      <c r="AH31" s="193"/>
      <c r="AI31" s="193"/>
      <c r="AJ31" s="193"/>
      <c r="AK31" s="193"/>
      <c r="AL31" s="60"/>
      <c r="AM31" s="64"/>
      <c r="AN31" s="64"/>
      <c r="AO31" s="64"/>
      <c r="AP31" s="233" t="s">
        <v>30</v>
      </c>
      <c r="AQ31" s="114">
        <v>565</v>
      </c>
      <c r="AR31" s="81">
        <v>965</v>
      </c>
      <c r="AS31" s="81">
        <v>185</v>
      </c>
      <c r="AT31" s="81">
        <f>6</f>
        <v>6</v>
      </c>
      <c r="AU31" s="81">
        <v>4</v>
      </c>
      <c r="AV31" s="112">
        <f t="shared" ref="AV31:AV34" si="12">SUM(AQ31:AU31)</f>
        <v>1725</v>
      </c>
      <c r="AW31" s="55"/>
      <c r="AX31" s="55"/>
      <c r="AY31" s="55"/>
      <c r="AZ31" s="30" t="s">
        <v>24</v>
      </c>
      <c r="BA31" s="162">
        <v>745</v>
      </c>
      <c r="BB31" s="206"/>
      <c r="BC31" s="128">
        <v>142</v>
      </c>
      <c r="BD31" s="128">
        <f>1</f>
        <v>1</v>
      </c>
      <c r="BE31" s="128">
        <f>34+29</f>
        <v>63</v>
      </c>
      <c r="BF31" s="128">
        <f>SUM(BA31:BE31)</f>
        <v>951</v>
      </c>
      <c r="BG31" s="118"/>
      <c r="BH31" s="118"/>
      <c r="BI31" s="119"/>
    </row>
    <row r="32" spans="1:61" ht="12.75" customHeight="1" x14ac:dyDescent="0.2">
      <c r="A32" s="28">
        <v>22</v>
      </c>
      <c r="B32" s="29" t="s">
        <v>26</v>
      </c>
      <c r="C32" s="114">
        <v>639</v>
      </c>
      <c r="D32" s="114">
        <f>841</f>
        <v>841</v>
      </c>
      <c r="E32" s="114">
        <v>184</v>
      </c>
      <c r="F32" s="114">
        <f>7</f>
        <v>7</v>
      </c>
      <c r="G32" s="114">
        <f>2</f>
        <v>2</v>
      </c>
      <c r="H32" s="247">
        <f>SUM(C32:G32)</f>
        <v>1673</v>
      </c>
      <c r="I32" s="53"/>
      <c r="J32" s="53"/>
      <c r="K32" s="54"/>
      <c r="L32" s="30" t="s">
        <v>27</v>
      </c>
      <c r="M32" s="85">
        <v>513</v>
      </c>
      <c r="N32" s="282">
        <v>765</v>
      </c>
      <c r="O32" s="86">
        <v>174</v>
      </c>
      <c r="P32" s="86">
        <f>8+1</f>
        <v>9</v>
      </c>
      <c r="Q32" s="86">
        <v>10</v>
      </c>
      <c r="R32" s="69">
        <f t="shared" si="1"/>
        <v>1471</v>
      </c>
      <c r="S32" s="390"/>
      <c r="T32" s="390"/>
      <c r="U32" s="390"/>
      <c r="V32" s="30" t="s">
        <v>24</v>
      </c>
      <c r="W32" s="283"/>
      <c r="X32" s="69">
        <v>703</v>
      </c>
      <c r="Y32" s="69">
        <v>137</v>
      </c>
      <c r="Z32" s="69">
        <v>3</v>
      </c>
      <c r="AA32" s="69">
        <v>0</v>
      </c>
      <c r="AB32" s="69">
        <f t="shared" si="4"/>
        <v>843</v>
      </c>
      <c r="AC32" s="53"/>
      <c r="AD32" s="53"/>
      <c r="AE32" s="54"/>
      <c r="AF32" s="30" t="s">
        <v>26</v>
      </c>
      <c r="AG32" s="69">
        <f>622</f>
        <v>622</v>
      </c>
      <c r="AH32" s="69">
        <v>1004</v>
      </c>
      <c r="AI32" s="69">
        <v>194</v>
      </c>
      <c r="AJ32" s="69">
        <f>1+4</f>
        <v>5</v>
      </c>
      <c r="AK32" s="69">
        <v>14</v>
      </c>
      <c r="AL32" s="57">
        <f t="shared" ref="AL32" si="13">SUM(AG32:AK32)</f>
        <v>1839</v>
      </c>
      <c r="AM32" s="55"/>
      <c r="AN32" s="55"/>
      <c r="AO32" s="55"/>
      <c r="AP32" s="233" t="s">
        <v>32</v>
      </c>
      <c r="AQ32" s="69">
        <v>592</v>
      </c>
      <c r="AR32" s="69">
        <v>995</v>
      </c>
      <c r="AS32" s="69">
        <v>189</v>
      </c>
      <c r="AT32" s="69">
        <f>5</f>
        <v>5</v>
      </c>
      <c r="AU32" s="69">
        <f>9+4</f>
        <v>13</v>
      </c>
      <c r="AV32" s="112">
        <f t="shared" si="12"/>
        <v>1794</v>
      </c>
      <c r="AW32" s="55"/>
      <c r="AX32" s="55"/>
      <c r="AY32" s="55"/>
      <c r="AZ32" s="30" t="s">
        <v>28</v>
      </c>
      <c r="BA32" s="129"/>
      <c r="BB32" s="129"/>
      <c r="BC32" s="129"/>
      <c r="BD32" s="129"/>
      <c r="BE32" s="129"/>
      <c r="BF32" s="129"/>
      <c r="BG32" s="118"/>
      <c r="BH32" s="118"/>
      <c r="BI32" s="119"/>
    </row>
    <row r="33" spans="1:61" ht="12.75" customHeight="1" x14ac:dyDescent="0.2">
      <c r="A33" s="28">
        <v>23</v>
      </c>
      <c r="B33" s="29" t="s">
        <v>30</v>
      </c>
      <c r="C33" s="248">
        <v>740</v>
      </c>
      <c r="D33" s="248">
        <f>1026</f>
        <v>1026</v>
      </c>
      <c r="E33" s="248">
        <v>181</v>
      </c>
      <c r="F33" s="248">
        <f>2+11</f>
        <v>13</v>
      </c>
      <c r="G33" s="248">
        <v>2</v>
      </c>
      <c r="H33" s="249">
        <f>SUM(C33:G33)</f>
        <v>1962</v>
      </c>
      <c r="I33" s="53"/>
      <c r="J33" s="53"/>
      <c r="K33" s="54"/>
      <c r="L33" s="30" t="s">
        <v>24</v>
      </c>
      <c r="M33" s="206"/>
      <c r="N33" s="69">
        <v>575</v>
      </c>
      <c r="O33" s="81">
        <v>123</v>
      </c>
      <c r="P33" s="81">
        <f>8</f>
        <v>8</v>
      </c>
      <c r="Q33" s="81"/>
      <c r="R33" s="69">
        <f t="shared" si="1"/>
        <v>706</v>
      </c>
      <c r="S33" s="87"/>
      <c r="T33" s="87"/>
      <c r="U33" s="261"/>
      <c r="V33" s="30" t="s">
        <v>28</v>
      </c>
      <c r="W33" s="88"/>
      <c r="X33" s="60"/>
      <c r="Y33" s="60"/>
      <c r="Z33" s="60"/>
      <c r="AA33" s="60"/>
      <c r="AB33" s="88"/>
      <c r="AC33" s="53"/>
      <c r="AD33" s="53"/>
      <c r="AE33" s="54"/>
      <c r="AF33" s="30" t="s">
        <v>30</v>
      </c>
      <c r="AG33" s="202">
        <v>742</v>
      </c>
      <c r="AH33" s="202">
        <v>1054</v>
      </c>
      <c r="AI33" s="202">
        <v>203</v>
      </c>
      <c r="AJ33" s="202">
        <f>3+4</f>
        <v>7</v>
      </c>
      <c r="AK33" s="202">
        <f>71+8</f>
        <v>79</v>
      </c>
      <c r="AL33" s="204">
        <f>SUM(AG33:AK33)</f>
        <v>2085</v>
      </c>
      <c r="AM33" s="264"/>
      <c r="AN33" s="264"/>
      <c r="AO33" s="264"/>
      <c r="AP33" s="233" t="s">
        <v>27</v>
      </c>
      <c r="AQ33" s="65">
        <v>624</v>
      </c>
      <c r="AR33" s="65">
        <v>1034</v>
      </c>
      <c r="AS33" s="205">
        <v>193</v>
      </c>
      <c r="AT33" s="65">
        <v>7</v>
      </c>
      <c r="AU33" s="65">
        <v>21</v>
      </c>
      <c r="AV33" s="112">
        <f t="shared" si="12"/>
        <v>1879</v>
      </c>
      <c r="AW33" s="55"/>
      <c r="AX33" s="55"/>
      <c r="AY33" s="55"/>
      <c r="AZ33" s="30" t="s">
        <v>31</v>
      </c>
      <c r="BA33" s="120"/>
      <c r="BB33" s="120"/>
      <c r="BC33" s="120"/>
      <c r="BD33" s="120"/>
      <c r="BE33" s="120"/>
      <c r="BF33" s="120"/>
      <c r="BG33" s="118"/>
      <c r="BH33" s="118"/>
      <c r="BI33" s="119"/>
    </row>
    <row r="34" spans="1:61" ht="12.75" customHeight="1" x14ac:dyDescent="0.2">
      <c r="A34" s="28">
        <v>24</v>
      </c>
      <c r="B34" s="29" t="s">
        <v>32</v>
      </c>
      <c r="C34" s="77">
        <v>585</v>
      </c>
      <c r="D34" s="77">
        <v>822</v>
      </c>
      <c r="E34" s="77">
        <v>161</v>
      </c>
      <c r="F34" s="77">
        <f>10</f>
        <v>10</v>
      </c>
      <c r="G34" s="77">
        <f>8</f>
        <v>8</v>
      </c>
      <c r="H34" s="77">
        <f>SUM(C34:G34)</f>
        <v>1586</v>
      </c>
      <c r="I34" s="53"/>
      <c r="J34" s="53"/>
      <c r="K34" s="54"/>
      <c r="L34" s="30" t="s">
        <v>28</v>
      </c>
      <c r="M34" s="60"/>
      <c r="N34" s="60"/>
      <c r="O34" s="60"/>
      <c r="P34" s="60"/>
      <c r="Q34" s="60"/>
      <c r="R34" s="255"/>
      <c r="S34" s="87"/>
      <c r="T34" s="87"/>
      <c r="U34" s="261"/>
      <c r="V34" s="30" t="s">
        <v>31</v>
      </c>
      <c r="W34" s="88"/>
      <c r="X34" s="60"/>
      <c r="Y34" s="60"/>
      <c r="Z34" s="60"/>
      <c r="AA34" s="60"/>
      <c r="AB34" s="88"/>
      <c r="AC34" s="53"/>
      <c r="AD34" s="53"/>
      <c r="AE34" s="54"/>
      <c r="AF34" s="30" t="s">
        <v>32</v>
      </c>
      <c r="AG34" s="69">
        <v>628</v>
      </c>
      <c r="AH34" s="69">
        <v>846</v>
      </c>
      <c r="AI34" s="69">
        <v>183</v>
      </c>
      <c r="AJ34" s="69">
        <f>1+4</f>
        <v>5</v>
      </c>
      <c r="AK34" s="69">
        <f>14+4+1+7+8</f>
        <v>34</v>
      </c>
      <c r="AL34" s="57">
        <f t="shared" ref="AL34" si="14">SUM(AG34:AK34)</f>
        <v>1696</v>
      </c>
      <c r="AM34" s="264"/>
      <c r="AN34" s="264"/>
      <c r="AO34" s="264"/>
      <c r="AP34" s="233" t="s">
        <v>24</v>
      </c>
      <c r="AQ34" s="81">
        <v>737</v>
      </c>
      <c r="AR34" s="206"/>
      <c r="AS34" s="81">
        <v>143</v>
      </c>
      <c r="AT34" s="81">
        <f>10</f>
        <v>10</v>
      </c>
      <c r="AU34" s="81">
        <v>2</v>
      </c>
      <c r="AV34" s="112">
        <f t="shared" si="12"/>
        <v>892</v>
      </c>
      <c r="AW34" s="55"/>
      <c r="AX34" s="55"/>
      <c r="AY34" s="55"/>
      <c r="AZ34" s="30" t="s">
        <v>26</v>
      </c>
      <c r="BA34" s="213">
        <v>550</v>
      </c>
      <c r="BB34" s="213">
        <f>961</f>
        <v>961</v>
      </c>
      <c r="BC34" s="215">
        <v>184</v>
      </c>
      <c r="BD34" s="128">
        <f>6+1+4</f>
        <v>11</v>
      </c>
      <c r="BE34" s="128">
        <f>89</f>
        <v>89</v>
      </c>
      <c r="BF34" s="128">
        <f>SUM(BA34:BE34)</f>
        <v>1795</v>
      </c>
      <c r="BG34" s="118"/>
      <c r="BH34" s="118"/>
      <c r="BI34" s="119"/>
    </row>
    <row r="35" spans="1:61" ht="12.75" customHeight="1" x14ac:dyDescent="0.2">
      <c r="A35" s="28">
        <v>25</v>
      </c>
      <c r="B35" s="29" t="s">
        <v>27</v>
      </c>
      <c r="C35" s="77">
        <v>601</v>
      </c>
      <c r="D35" s="77">
        <v>894</v>
      </c>
      <c r="E35" s="77">
        <v>172</v>
      </c>
      <c r="F35" s="77">
        <v>12</v>
      </c>
      <c r="G35" s="77">
        <f>6+25</f>
        <v>31</v>
      </c>
      <c r="H35" s="77">
        <f>SUM(C35:G35)</f>
        <v>1710</v>
      </c>
      <c r="I35" s="53"/>
      <c r="J35" s="53"/>
      <c r="K35" s="54"/>
      <c r="L35" s="30" t="s">
        <v>31</v>
      </c>
      <c r="M35" s="207"/>
      <c r="N35" s="207"/>
      <c r="O35" s="207"/>
      <c r="P35" s="207"/>
      <c r="Q35" s="239"/>
      <c r="R35" s="256"/>
      <c r="S35" s="87"/>
      <c r="T35" s="87"/>
      <c r="U35" s="261"/>
      <c r="V35" s="30" t="s">
        <v>26</v>
      </c>
      <c r="W35" s="187">
        <v>603</v>
      </c>
      <c r="X35" s="187">
        <v>877</v>
      </c>
      <c r="Y35" s="187">
        <v>181</v>
      </c>
      <c r="Z35" s="81">
        <f>6</f>
        <v>6</v>
      </c>
      <c r="AA35" s="81">
        <f>16</f>
        <v>16</v>
      </c>
      <c r="AB35" s="57">
        <f t="shared" ref="AB35:AB36" si="15">SUM(W35:AA35)</f>
        <v>1683</v>
      </c>
      <c r="AC35" s="53"/>
      <c r="AD35" s="53"/>
      <c r="AE35" s="54"/>
      <c r="AF35" s="30" t="s">
        <v>27</v>
      </c>
      <c r="AG35" s="194">
        <f>589</f>
        <v>589</v>
      </c>
      <c r="AH35" s="194">
        <v>976</v>
      </c>
      <c r="AI35" s="194">
        <v>171</v>
      </c>
      <c r="AJ35" s="194">
        <f>6+1</f>
        <v>7</v>
      </c>
      <c r="AK35" s="202">
        <f>2+15+1+8</f>
        <v>26</v>
      </c>
      <c r="AL35" s="204">
        <f>SUM(AG35:AK35)</f>
        <v>1769</v>
      </c>
      <c r="AM35" s="264"/>
      <c r="AN35" s="264"/>
      <c r="AO35" s="264"/>
      <c r="AP35" s="233" t="s">
        <v>28</v>
      </c>
      <c r="AQ35" s="109"/>
      <c r="AR35" s="109"/>
      <c r="AS35" s="109"/>
      <c r="AT35" s="109"/>
      <c r="AU35" s="109"/>
      <c r="AV35" s="208"/>
      <c r="AW35" s="110"/>
      <c r="AX35" s="110"/>
      <c r="AY35" s="111"/>
      <c r="AZ35" s="30" t="s">
        <v>30</v>
      </c>
      <c r="BA35" s="214">
        <v>613</v>
      </c>
      <c r="BB35" s="214">
        <f>838</f>
        <v>838</v>
      </c>
      <c r="BC35" s="214">
        <v>178</v>
      </c>
      <c r="BD35" s="214">
        <f>8+2</f>
        <v>10</v>
      </c>
      <c r="BE35" s="214">
        <v>86</v>
      </c>
      <c r="BF35" s="128">
        <f>SUM(BA35:BE35)</f>
        <v>1725</v>
      </c>
      <c r="BG35" s="118"/>
      <c r="BH35" s="118"/>
      <c r="BI35" s="119"/>
    </row>
    <row r="36" spans="1:61" ht="12.75" customHeight="1" x14ac:dyDescent="0.2">
      <c r="A36" s="28">
        <v>26</v>
      </c>
      <c r="B36" s="29" t="s">
        <v>24</v>
      </c>
      <c r="C36" s="206"/>
      <c r="D36" s="77">
        <v>699</v>
      </c>
      <c r="E36" s="77">
        <v>124</v>
      </c>
      <c r="F36" s="77">
        <v>10</v>
      </c>
      <c r="G36" s="77">
        <f>20</f>
        <v>20</v>
      </c>
      <c r="H36" s="77">
        <f>SUM(C36:G36)</f>
        <v>853</v>
      </c>
      <c r="I36" s="53"/>
      <c r="J36" s="53"/>
      <c r="K36" s="54"/>
      <c r="L36" s="30" t="s">
        <v>26</v>
      </c>
      <c r="M36" s="237">
        <v>570</v>
      </c>
      <c r="N36" s="237">
        <v>923</v>
      </c>
      <c r="O36" s="237">
        <v>190</v>
      </c>
      <c r="P36" s="237">
        <f>8+2</f>
        <v>10</v>
      </c>
      <c r="Q36" s="237"/>
      <c r="R36" s="236">
        <f>SUM(M36:Q36)</f>
        <v>1693</v>
      </c>
      <c r="S36" s="62"/>
      <c r="T36" s="62"/>
      <c r="U36" s="63"/>
      <c r="V36" s="30" t="s">
        <v>30</v>
      </c>
      <c r="W36" s="188">
        <v>730</v>
      </c>
      <c r="X36" s="189">
        <v>1002</v>
      </c>
      <c r="Y36" s="188">
        <v>196</v>
      </c>
      <c r="Z36" s="73">
        <f>8+3</f>
        <v>11</v>
      </c>
      <c r="AA36" s="73">
        <f>25</f>
        <v>25</v>
      </c>
      <c r="AB36" s="57">
        <f t="shared" si="15"/>
        <v>1964</v>
      </c>
      <c r="AC36" s="53"/>
      <c r="AD36" s="53"/>
      <c r="AE36" s="54"/>
      <c r="AF36" s="30" t="s">
        <v>24</v>
      </c>
      <c r="AG36" s="194">
        <v>684</v>
      </c>
      <c r="AH36" s="206"/>
      <c r="AI36" s="194">
        <v>149</v>
      </c>
      <c r="AJ36" s="194">
        <v>3</v>
      </c>
      <c r="AK36" s="202">
        <f>7+1+6</f>
        <v>14</v>
      </c>
      <c r="AL36" s="204">
        <f>SUM(AG36:AK36)</f>
        <v>850</v>
      </c>
      <c r="AM36" s="264"/>
      <c r="AN36" s="264"/>
      <c r="AO36" s="264"/>
      <c r="AP36" s="233" t="s">
        <v>31</v>
      </c>
      <c r="AQ36" s="56"/>
      <c r="AR36" s="56"/>
      <c r="AS36" s="56"/>
      <c r="AT36" s="56"/>
      <c r="AU36" s="56"/>
      <c r="AV36" s="56"/>
      <c r="AW36" s="269"/>
      <c r="AX36" s="269"/>
      <c r="AY36" s="270"/>
      <c r="AZ36" s="30" t="s">
        <v>32</v>
      </c>
      <c r="BA36" s="128">
        <v>504</v>
      </c>
      <c r="BB36" s="128">
        <f>719</f>
        <v>719</v>
      </c>
      <c r="BC36" s="128">
        <v>150</v>
      </c>
      <c r="BD36" s="128">
        <f>1+3</f>
        <v>4</v>
      </c>
      <c r="BE36" s="128">
        <f>67+4+13+10+6+1+5</f>
        <v>106</v>
      </c>
      <c r="BF36" s="128">
        <f>SUM(BA36:BE36)</f>
        <v>1483</v>
      </c>
      <c r="BG36" s="118"/>
      <c r="BH36" s="118"/>
      <c r="BI36" s="119"/>
    </row>
    <row r="37" spans="1:61" ht="12.75" customHeight="1" x14ac:dyDescent="0.2">
      <c r="A37" s="28">
        <v>27</v>
      </c>
      <c r="B37" s="29" t="s">
        <v>28</v>
      </c>
      <c r="C37" s="60"/>
      <c r="D37" s="60"/>
      <c r="E37" s="60"/>
      <c r="F37" s="60"/>
      <c r="G37" s="60"/>
      <c r="H37" s="255"/>
      <c r="I37" s="53"/>
      <c r="J37" s="53"/>
      <c r="K37" s="54"/>
      <c r="L37" s="30" t="s">
        <v>30</v>
      </c>
      <c r="M37" s="61">
        <v>807</v>
      </c>
      <c r="N37" s="61">
        <v>997</v>
      </c>
      <c r="O37" s="61">
        <v>183</v>
      </c>
      <c r="P37" s="61">
        <f>6+2</f>
        <v>8</v>
      </c>
      <c r="Q37" s="61">
        <v>10</v>
      </c>
      <c r="R37" s="257">
        <f>SUM(M37:Q37)</f>
        <v>2005</v>
      </c>
      <c r="S37" s="263"/>
      <c r="T37" s="263"/>
      <c r="U37" s="263"/>
      <c r="V37" s="30" t="s">
        <v>32</v>
      </c>
      <c r="W37" s="187">
        <v>578</v>
      </c>
      <c r="X37" s="187">
        <v>855</v>
      </c>
      <c r="Y37" s="187">
        <v>164</v>
      </c>
      <c r="Z37" s="81">
        <f>2+6</f>
        <v>8</v>
      </c>
      <c r="AA37" s="81">
        <v>27</v>
      </c>
      <c r="AB37" s="57">
        <f t="shared" si="4"/>
        <v>1632</v>
      </c>
      <c r="AC37" s="53"/>
      <c r="AD37" s="53"/>
      <c r="AE37" s="54"/>
      <c r="AF37" s="30" t="s">
        <v>28</v>
      </c>
      <c r="AG37" s="193"/>
      <c r="AH37" s="97"/>
      <c r="AI37" s="97"/>
      <c r="AJ37" s="193"/>
      <c r="AK37" s="193"/>
      <c r="AL37" s="60"/>
      <c r="AM37" s="264"/>
      <c r="AN37" s="264"/>
      <c r="AO37" s="264"/>
      <c r="AP37" s="233" t="s">
        <v>26</v>
      </c>
      <c r="AQ37" s="69">
        <v>590</v>
      </c>
      <c r="AR37" s="69">
        <f>968</f>
        <v>968</v>
      </c>
      <c r="AS37" s="69">
        <v>224</v>
      </c>
      <c r="AT37" s="69">
        <f>6</f>
        <v>6</v>
      </c>
      <c r="AU37" s="69">
        <f>18</f>
        <v>18</v>
      </c>
      <c r="AV37" s="113">
        <f t="shared" ref="AV37:AV40" si="16">SUM(AQ37:AU37)</f>
        <v>1806</v>
      </c>
      <c r="AW37" s="271"/>
      <c r="AX37" s="271"/>
      <c r="AY37" s="271"/>
      <c r="AZ37" s="30" t="s">
        <v>27</v>
      </c>
      <c r="BA37" s="128">
        <v>444</v>
      </c>
      <c r="BB37" s="128">
        <v>812</v>
      </c>
      <c r="BC37" s="128">
        <v>177</v>
      </c>
      <c r="BD37" s="128">
        <v>6</v>
      </c>
      <c r="BE37" s="128">
        <f>70+67</f>
        <v>137</v>
      </c>
      <c r="BF37" s="128">
        <f>SUM(BA37:BE37)</f>
        <v>1576</v>
      </c>
      <c r="BG37" s="118"/>
      <c r="BH37" s="118"/>
      <c r="BI37" s="119"/>
    </row>
    <row r="38" spans="1:61" ht="12.75" customHeight="1" x14ac:dyDescent="0.2">
      <c r="A38" s="28">
        <v>28</v>
      </c>
      <c r="B38" s="29" t="s">
        <v>31</v>
      </c>
      <c r="C38" s="207"/>
      <c r="D38" s="207"/>
      <c r="E38" s="207"/>
      <c r="F38" s="207"/>
      <c r="G38" s="239"/>
      <c r="H38" s="256"/>
      <c r="I38" s="53"/>
      <c r="J38" s="53"/>
      <c r="K38" s="54"/>
      <c r="L38" s="30" t="s">
        <v>32</v>
      </c>
      <c r="M38" s="65">
        <v>612</v>
      </c>
      <c r="N38" s="65">
        <v>781</v>
      </c>
      <c r="O38" s="65">
        <v>174</v>
      </c>
      <c r="P38" s="65">
        <f>7+1</f>
        <v>8</v>
      </c>
      <c r="Q38" s="65">
        <v>10</v>
      </c>
      <c r="R38" s="69">
        <f t="shared" si="1"/>
        <v>1585</v>
      </c>
      <c r="S38" s="263"/>
      <c r="T38" s="263"/>
      <c r="U38" s="263"/>
      <c r="V38" s="30" t="s">
        <v>27</v>
      </c>
      <c r="W38" s="188">
        <v>522</v>
      </c>
      <c r="X38" s="189">
        <v>767</v>
      </c>
      <c r="Y38" s="188">
        <v>154</v>
      </c>
      <c r="Z38" s="73">
        <f>2+6</f>
        <v>8</v>
      </c>
      <c r="AA38" s="73">
        <f>19</f>
        <v>19</v>
      </c>
      <c r="AB38" s="57">
        <f t="shared" si="4"/>
        <v>1470</v>
      </c>
      <c r="AC38" s="89"/>
      <c r="AD38" s="89"/>
      <c r="AE38" s="89"/>
      <c r="AF38" s="30" t="s">
        <v>31</v>
      </c>
      <c r="AG38" s="193"/>
      <c r="AH38" s="97"/>
      <c r="AI38" s="97"/>
      <c r="AJ38" s="193"/>
      <c r="AK38" s="193"/>
      <c r="AL38" s="60"/>
      <c r="AM38" s="264"/>
      <c r="AN38" s="264"/>
      <c r="AO38" s="264"/>
      <c r="AP38" s="233" t="s">
        <v>30</v>
      </c>
      <c r="AQ38" s="65">
        <v>785</v>
      </c>
      <c r="AR38" s="65">
        <v>1126</v>
      </c>
      <c r="AS38" s="205">
        <v>230</v>
      </c>
      <c r="AT38" s="65">
        <f>6+3</f>
        <v>9</v>
      </c>
      <c r="AU38" s="65">
        <v>20</v>
      </c>
      <c r="AV38" s="113">
        <f t="shared" si="16"/>
        <v>2170</v>
      </c>
      <c r="AW38" s="271"/>
      <c r="AX38" s="271"/>
      <c r="AY38" s="271"/>
      <c r="AZ38" s="30" t="s">
        <v>24</v>
      </c>
      <c r="BA38" s="206"/>
      <c r="BB38" s="272">
        <v>667</v>
      </c>
      <c r="BC38" s="128">
        <v>145</v>
      </c>
      <c r="BD38" s="128">
        <v>5</v>
      </c>
      <c r="BE38" s="128">
        <f>48+4</f>
        <v>52</v>
      </c>
      <c r="BF38" s="128">
        <f>SUM(BA38:BE38)</f>
        <v>869</v>
      </c>
      <c r="BG38" s="118"/>
      <c r="BH38" s="118"/>
      <c r="BI38" s="119"/>
    </row>
    <row r="39" spans="1:61" ht="12.75" customHeight="1" x14ac:dyDescent="0.2">
      <c r="A39" s="28">
        <v>29</v>
      </c>
      <c r="B39" s="234" t="s">
        <v>26</v>
      </c>
      <c r="C39" s="237">
        <v>625</v>
      </c>
      <c r="D39" s="237">
        <v>814</v>
      </c>
      <c r="E39" s="237">
        <v>181</v>
      </c>
      <c r="F39" s="237">
        <f>9</f>
        <v>9</v>
      </c>
      <c r="G39" s="237">
        <f>10+4</f>
        <v>14</v>
      </c>
      <c r="H39" s="236">
        <f>SUM(C39:G39)</f>
        <v>1643</v>
      </c>
      <c r="I39" s="53"/>
      <c r="J39" s="53"/>
      <c r="K39" s="54"/>
      <c r="L39" s="30" t="s">
        <v>27</v>
      </c>
      <c r="M39" s="81">
        <v>607</v>
      </c>
      <c r="N39" s="81">
        <v>904</v>
      </c>
      <c r="O39" s="81">
        <v>194</v>
      </c>
      <c r="P39" s="81">
        <f>1+5</f>
        <v>6</v>
      </c>
      <c r="Q39" s="81">
        <f>7</f>
        <v>7</v>
      </c>
      <c r="R39" s="69">
        <f t="shared" si="1"/>
        <v>1718</v>
      </c>
      <c r="S39" s="53"/>
      <c r="T39" s="53"/>
      <c r="U39" s="54"/>
      <c r="V39" s="30" t="s">
        <v>24</v>
      </c>
      <c r="W39" s="228"/>
      <c r="X39" s="225" t="s">
        <v>58</v>
      </c>
      <c r="Y39" s="226"/>
      <c r="Z39" s="226"/>
      <c r="AA39" s="226"/>
      <c r="AB39" s="226">
        <f t="shared" ref="AB39" si="17">SUM((W39:AA39))</f>
        <v>0</v>
      </c>
      <c r="AC39" s="53"/>
      <c r="AD39" s="53"/>
      <c r="AE39" s="54"/>
      <c r="AF39" s="30" t="s">
        <v>26</v>
      </c>
      <c r="AG39" s="194">
        <v>582</v>
      </c>
      <c r="AH39" s="194">
        <f>924</f>
        <v>924</v>
      </c>
      <c r="AI39" s="194">
        <v>203</v>
      </c>
      <c r="AJ39" s="194">
        <f>5+2</f>
        <v>7</v>
      </c>
      <c r="AK39" s="202">
        <f>22+1</f>
        <v>23</v>
      </c>
      <c r="AL39" s="204">
        <f>SUM(AG39:AK39)</f>
        <v>1739</v>
      </c>
      <c r="AM39" s="264"/>
      <c r="AN39" s="264"/>
      <c r="AO39" s="264"/>
      <c r="AP39" s="233" t="s">
        <v>32</v>
      </c>
      <c r="AQ39" s="126">
        <v>600</v>
      </c>
      <c r="AR39" s="126">
        <v>828</v>
      </c>
      <c r="AS39" s="126">
        <v>177</v>
      </c>
      <c r="AT39" s="126">
        <v>10</v>
      </c>
      <c r="AU39" s="126">
        <v>20</v>
      </c>
      <c r="AV39" s="113">
        <f t="shared" si="16"/>
        <v>1635</v>
      </c>
      <c r="AW39" s="271"/>
      <c r="AX39" s="271"/>
      <c r="AY39" s="271"/>
      <c r="AZ39" s="30" t="s">
        <v>28</v>
      </c>
      <c r="BA39" s="129"/>
      <c r="BB39" s="129"/>
      <c r="BC39" s="129"/>
      <c r="BD39" s="129"/>
      <c r="BE39" s="129"/>
      <c r="BF39" s="129"/>
      <c r="BG39" s="118"/>
      <c r="BH39" s="118"/>
      <c r="BI39" s="119"/>
    </row>
    <row r="40" spans="1:61" ht="12.75" customHeight="1" x14ac:dyDescent="0.2">
      <c r="A40" s="28">
        <v>30</v>
      </c>
      <c r="B40" s="234" t="s">
        <v>30</v>
      </c>
      <c r="C40" s="79">
        <v>660</v>
      </c>
      <c r="D40" s="79">
        <v>1059</v>
      </c>
      <c r="E40" s="79">
        <v>195</v>
      </c>
      <c r="F40" s="79">
        <f>9</f>
        <v>9</v>
      </c>
      <c r="G40" s="79"/>
      <c r="H40" s="254">
        <f>SUM(C40:G40)</f>
        <v>1923</v>
      </c>
      <c r="I40" s="53"/>
      <c r="J40" s="53"/>
      <c r="K40" s="54"/>
      <c r="L40" s="38"/>
      <c r="M40" s="81"/>
      <c r="N40" s="81"/>
      <c r="O40" s="81"/>
      <c r="P40" s="81"/>
      <c r="Q40" s="81"/>
      <c r="R40" s="69"/>
      <c r="S40" s="53"/>
      <c r="T40" s="53"/>
      <c r="U40" s="54"/>
      <c r="V40" s="30" t="s">
        <v>28</v>
      </c>
      <c r="W40" s="88"/>
      <c r="X40" s="60"/>
      <c r="Y40" s="60"/>
      <c r="Z40" s="60"/>
      <c r="AA40" s="60"/>
      <c r="AB40" s="88"/>
      <c r="AC40" s="53"/>
      <c r="AD40" s="53"/>
      <c r="AE40" s="54"/>
      <c r="AF40" s="30" t="s">
        <v>30</v>
      </c>
      <c r="AG40" s="194">
        <v>699</v>
      </c>
      <c r="AH40" s="194">
        <f>943</f>
        <v>943</v>
      </c>
      <c r="AI40" s="194">
        <v>191</v>
      </c>
      <c r="AJ40" s="194">
        <f>3+3</f>
        <v>6</v>
      </c>
      <c r="AK40" s="202">
        <f>19+1</f>
        <v>20</v>
      </c>
      <c r="AL40" s="204">
        <f>SUM(AG40:AK40)</f>
        <v>1859</v>
      </c>
      <c r="AM40" s="265"/>
      <c r="AN40" s="266"/>
      <c r="AO40" s="266"/>
      <c r="AP40" s="233" t="s">
        <v>27</v>
      </c>
      <c r="AQ40" s="65">
        <v>584</v>
      </c>
      <c r="AR40" s="65">
        <v>988</v>
      </c>
      <c r="AS40" s="65">
        <v>196</v>
      </c>
      <c r="AT40" s="65">
        <v>9</v>
      </c>
      <c r="AU40" s="65">
        <f>14</f>
        <v>14</v>
      </c>
      <c r="AV40" s="113">
        <f t="shared" si="16"/>
        <v>1791</v>
      </c>
      <c r="AW40" s="107"/>
      <c r="AX40" s="107"/>
      <c r="AY40" s="106"/>
      <c r="AZ40" s="30" t="s">
        <v>31</v>
      </c>
      <c r="BA40" s="120"/>
      <c r="BB40" s="120"/>
      <c r="BC40" s="120"/>
      <c r="BD40" s="120"/>
      <c r="BE40" s="120"/>
      <c r="BF40" s="120"/>
      <c r="BG40" s="118"/>
      <c r="BH40" s="118"/>
      <c r="BI40" s="119"/>
    </row>
    <row r="41" spans="1:61" ht="13.5" customHeight="1" x14ac:dyDescent="0.2">
      <c r="A41" s="39">
        <v>31</v>
      </c>
      <c r="B41" s="234" t="s">
        <v>32</v>
      </c>
      <c r="C41" s="79">
        <v>576</v>
      </c>
      <c r="D41" s="79">
        <v>778</v>
      </c>
      <c r="E41" s="79">
        <v>179</v>
      </c>
      <c r="F41" s="79">
        <f>5+1</f>
        <v>6</v>
      </c>
      <c r="G41" s="79">
        <f>10+42+4</f>
        <v>56</v>
      </c>
      <c r="H41" s="236">
        <f>SUM(C41:G41)</f>
        <v>1595</v>
      </c>
      <c r="I41" s="66"/>
      <c r="J41" s="66"/>
      <c r="K41" s="67"/>
      <c r="L41" s="277"/>
      <c r="M41" s="278"/>
      <c r="N41" s="278"/>
      <c r="O41" s="114"/>
      <c r="P41" s="114"/>
      <c r="Q41" s="114"/>
      <c r="R41" s="69"/>
      <c r="S41" s="66"/>
      <c r="T41" s="66"/>
      <c r="U41" s="67"/>
      <c r="V41" s="30" t="s">
        <v>31</v>
      </c>
      <c r="W41" s="88" t="s">
        <v>60</v>
      </c>
      <c r="X41" s="60"/>
      <c r="Y41" s="60"/>
      <c r="Z41" s="60"/>
      <c r="AA41" s="60"/>
      <c r="AB41" s="88"/>
      <c r="AC41" s="93"/>
      <c r="AD41" s="93"/>
      <c r="AE41" s="94"/>
      <c r="AF41" s="40"/>
      <c r="AG41" s="196"/>
      <c r="AH41" s="289"/>
      <c r="AI41" s="289"/>
      <c r="AJ41" s="196"/>
      <c r="AK41" s="196"/>
      <c r="AL41" s="96"/>
      <c r="AM41" s="89"/>
      <c r="AN41" s="89"/>
      <c r="AO41" s="89"/>
      <c r="AP41" s="233" t="s">
        <v>24</v>
      </c>
      <c r="AQ41" s="206"/>
      <c r="AR41" s="81">
        <v>614</v>
      </c>
      <c r="AS41" s="81">
        <v>154</v>
      </c>
      <c r="AT41" s="81">
        <v>0</v>
      </c>
      <c r="AU41" s="81">
        <v>10</v>
      </c>
      <c r="AV41" s="113">
        <f t="shared" ref="AV41" si="18">SUM(AQ41:AU41)</f>
        <v>778</v>
      </c>
      <c r="AW41" s="115"/>
      <c r="AX41" s="107"/>
      <c r="AY41" s="106"/>
      <c r="AZ41" s="30"/>
      <c r="BA41" s="128"/>
      <c r="BB41" s="128"/>
      <c r="BC41" s="128"/>
      <c r="BD41" s="128"/>
      <c r="BE41" s="128"/>
      <c r="BF41" s="128"/>
      <c r="BG41" s="124"/>
      <c r="BH41" s="124"/>
      <c r="BI41" s="125"/>
    </row>
    <row r="42" spans="1:61" ht="13.5" customHeight="1" x14ac:dyDescent="0.2">
      <c r="A42" s="39"/>
      <c r="B42" s="241"/>
      <c r="C42" s="273"/>
      <c r="D42" s="273"/>
      <c r="E42" s="273">
        <v>3693</v>
      </c>
      <c r="F42" s="274"/>
      <c r="G42" s="180"/>
      <c r="H42" s="181"/>
      <c r="I42" s="66"/>
      <c r="J42" s="66"/>
      <c r="K42" s="67"/>
      <c r="L42" s="40"/>
      <c r="M42" s="114"/>
      <c r="N42" s="114">
        <v>15982</v>
      </c>
      <c r="O42" s="81"/>
      <c r="P42" s="114">
        <f>149+19</f>
        <v>168</v>
      </c>
      <c r="Q42" s="114"/>
      <c r="R42" s="69"/>
      <c r="S42" s="66"/>
      <c r="T42" s="66"/>
      <c r="U42" s="67"/>
      <c r="V42" s="30"/>
      <c r="W42" s="92"/>
      <c r="X42" s="57"/>
      <c r="Y42" s="92"/>
      <c r="Z42" s="69"/>
      <c r="AA42" s="69"/>
      <c r="AB42" s="50"/>
      <c r="AC42" s="93"/>
      <c r="AD42" s="93"/>
      <c r="AE42" s="94"/>
      <c r="AF42" s="40"/>
      <c r="AG42" s="291" t="s">
        <v>61</v>
      </c>
      <c r="AH42" s="290">
        <v>16905</v>
      </c>
      <c r="AI42" s="290">
        <v>3551</v>
      </c>
      <c r="AJ42" s="288"/>
      <c r="AK42" s="197"/>
      <c r="AL42" s="96"/>
      <c r="AM42" s="89"/>
      <c r="AN42" s="89"/>
      <c r="AO42" s="89"/>
      <c r="AP42" s="233"/>
      <c r="AQ42" s="182"/>
      <c r="AR42" s="182"/>
      <c r="AS42" s="182"/>
      <c r="AT42" s="182"/>
      <c r="AU42" s="182"/>
      <c r="AV42" s="113"/>
      <c r="AW42" s="115"/>
      <c r="AX42" s="107"/>
      <c r="AY42" s="106"/>
      <c r="AZ42" s="30"/>
      <c r="BA42" s="130"/>
      <c r="BB42" s="130"/>
      <c r="BC42" s="130"/>
      <c r="BD42" s="130"/>
      <c r="BE42" s="130"/>
      <c r="BF42" s="184"/>
      <c r="BG42" s="124"/>
      <c r="BH42" s="124"/>
      <c r="BI42" s="125"/>
    </row>
    <row r="43" spans="1:61" s="22" customFormat="1" ht="14.25" customHeight="1" x14ac:dyDescent="0.2">
      <c r="A43" s="361" t="s">
        <v>34</v>
      </c>
      <c r="B43" s="361"/>
      <c r="C43" s="68">
        <f>SUM(C11:C41)</f>
        <v>13610</v>
      </c>
      <c r="D43" s="68">
        <f>SUM(D11:D41)</f>
        <v>15172</v>
      </c>
      <c r="E43" s="68">
        <f>SUM(E11:E41)</f>
        <v>3704</v>
      </c>
      <c r="F43" s="68">
        <f>SUM(F11:F41)</f>
        <v>161</v>
      </c>
      <c r="G43" s="68">
        <f>SUM(G11:G41)</f>
        <v>304</v>
      </c>
      <c r="H43" s="387">
        <f>SUM(C43:G43)</f>
        <v>32951</v>
      </c>
      <c r="I43" s="387"/>
      <c r="J43" s="387"/>
      <c r="K43" s="387"/>
      <c r="L43" s="152" t="s">
        <v>34</v>
      </c>
      <c r="M43" s="279">
        <f>SUM(M11:M41)</f>
        <v>11630</v>
      </c>
      <c r="N43" s="280">
        <f>SUM(N11:N41)</f>
        <v>15983</v>
      </c>
      <c r="O43" s="279">
        <f>SUM(O11:O41)</f>
        <v>3432</v>
      </c>
      <c r="P43" s="279">
        <f>SUM(P11:P41)</f>
        <v>168</v>
      </c>
      <c r="Q43" s="68">
        <f>SUM(Q11:Q41)</f>
        <v>286</v>
      </c>
      <c r="R43" s="212">
        <f>SUM(M43:Q43)</f>
        <v>31499</v>
      </c>
      <c r="S43" s="69"/>
      <c r="T43" s="69"/>
      <c r="U43" s="69"/>
      <c r="V43" s="152" t="s">
        <v>34</v>
      </c>
      <c r="W43" s="284">
        <f>SUM(W11:W41)</f>
        <v>11503</v>
      </c>
      <c r="X43" s="284">
        <f>SUM(X11:X41)</f>
        <v>15908</v>
      </c>
      <c r="Y43" s="284">
        <f>SUM(Y11:Y41)</f>
        <v>3346</v>
      </c>
      <c r="Z43" s="69">
        <f>SUM(Z11:Z41)</f>
        <v>170</v>
      </c>
      <c r="AA43" s="69">
        <f>SUM(AA11:AA41)</f>
        <v>405</v>
      </c>
      <c r="AB43" s="211">
        <f>SUM(W43:AA43)</f>
        <v>31332</v>
      </c>
      <c r="AC43" s="69"/>
      <c r="AD43" s="69"/>
      <c r="AE43" s="69"/>
      <c r="AF43" s="152" t="s">
        <v>34</v>
      </c>
      <c r="AG43" s="285">
        <f>SUM(AG11:AG42)</f>
        <v>11567</v>
      </c>
      <c r="AH43" s="292">
        <f>SUM(AH11:AH41)</f>
        <v>16905</v>
      </c>
      <c r="AI43" s="287">
        <f>SUM(AI11:AI41)</f>
        <v>3545</v>
      </c>
      <c r="AJ43" s="286">
        <f>SUM(AJ11:AJ41)</f>
        <v>136</v>
      </c>
      <c r="AK43" s="198">
        <f>SUM(AK11:AK41)</f>
        <v>521</v>
      </c>
      <c r="AL43" s="209">
        <f>SUM(AG43:AK43)</f>
        <v>32674</v>
      </c>
      <c r="AM43" s="203"/>
      <c r="AN43" s="203"/>
      <c r="AO43" s="203"/>
      <c r="AP43" s="152" t="s">
        <v>34</v>
      </c>
      <c r="AQ43" s="68">
        <f>SUM(AQ11:AQ41)</f>
        <v>9113</v>
      </c>
      <c r="AR43" s="68">
        <f>SUM(AR11:AR41)</f>
        <v>14888</v>
      </c>
      <c r="AS43" s="68">
        <f>SUM(AS11:AS41)</f>
        <v>3223</v>
      </c>
      <c r="AT43" s="68">
        <f>SUM(AT11:AT41)</f>
        <v>117</v>
      </c>
      <c r="AU43" s="68">
        <f>SUM(AU11:AU41)</f>
        <v>467</v>
      </c>
      <c r="AV43" s="212">
        <f>SUM(AQ43:AU43)</f>
        <v>27808</v>
      </c>
      <c r="AW43" s="69"/>
      <c r="AX43" s="69"/>
      <c r="AY43" s="69"/>
      <c r="AZ43" s="152" t="s">
        <v>34</v>
      </c>
      <c r="BA43" s="203">
        <f>SUM(BA11:BA40)</f>
        <v>11093</v>
      </c>
      <c r="BB43" s="68">
        <f>SUM(BB11:BB41)</f>
        <v>15937</v>
      </c>
      <c r="BC43" s="68">
        <f>SUM(BC11:BC41)</f>
        <v>3540</v>
      </c>
      <c r="BD43" s="68">
        <f>SUM(BD11:BD41)</f>
        <v>143</v>
      </c>
      <c r="BE43" s="68">
        <f>SUM(BE11:BE41)</f>
        <v>966</v>
      </c>
      <c r="BF43" s="210">
        <f>SUM(BA43:BE43)</f>
        <v>31679</v>
      </c>
      <c r="BG43" s="69"/>
      <c r="BH43" s="69"/>
      <c r="BI43" s="69"/>
    </row>
    <row r="44" spans="1:61" s="22" customFormat="1" ht="12.75" customHeight="1" x14ac:dyDescent="0.2">
      <c r="A44" s="361" t="s">
        <v>1</v>
      </c>
      <c r="B44" s="361"/>
      <c r="C44" s="363">
        <v>22</v>
      </c>
      <c r="D44" s="363"/>
      <c r="E44" s="363"/>
      <c r="F44" s="363"/>
      <c r="G44" s="363"/>
      <c r="H44" s="363"/>
      <c r="I44" s="363"/>
      <c r="J44" s="363"/>
      <c r="K44" s="363"/>
      <c r="L44" s="41" t="s">
        <v>57</v>
      </c>
      <c r="M44" s="363">
        <v>21</v>
      </c>
      <c r="N44" s="363"/>
      <c r="O44" s="363"/>
      <c r="P44" s="363"/>
      <c r="Q44" s="363"/>
      <c r="R44" s="363"/>
      <c r="S44" s="363"/>
      <c r="T44" s="363"/>
      <c r="U44" s="363"/>
      <c r="V44" s="41" t="s">
        <v>1</v>
      </c>
      <c r="W44" s="363">
        <v>21</v>
      </c>
      <c r="X44" s="363"/>
      <c r="Y44" s="363"/>
      <c r="Z44" s="388"/>
      <c r="AA44" s="388"/>
      <c r="AB44" s="363"/>
      <c r="AC44" s="363"/>
      <c r="AD44" s="363"/>
      <c r="AE44" s="363"/>
      <c r="AF44" s="41" t="s">
        <v>1</v>
      </c>
      <c r="AG44" s="367">
        <v>21</v>
      </c>
      <c r="AH44" s="367"/>
      <c r="AI44" s="367"/>
      <c r="AJ44" s="367"/>
      <c r="AK44" s="367"/>
      <c r="AL44" s="367"/>
      <c r="AM44" s="367"/>
      <c r="AN44" s="367"/>
      <c r="AO44" s="367"/>
      <c r="AP44" s="41" t="s">
        <v>1</v>
      </c>
      <c r="AQ44" s="363">
        <v>19</v>
      </c>
      <c r="AR44" s="363"/>
      <c r="AS44" s="363"/>
      <c r="AT44" s="363"/>
      <c r="AU44" s="363"/>
      <c r="AV44" s="363"/>
      <c r="AW44" s="363"/>
      <c r="AX44" s="363"/>
      <c r="AY44" s="363"/>
      <c r="AZ44" s="41" t="s">
        <v>1</v>
      </c>
      <c r="BA44" s="363">
        <v>20</v>
      </c>
      <c r="BB44" s="363"/>
      <c r="BC44" s="363"/>
      <c r="BD44" s="363"/>
      <c r="BE44" s="363"/>
      <c r="BF44" s="363"/>
      <c r="BG44" s="363"/>
      <c r="BH44" s="363"/>
      <c r="BI44" s="363"/>
    </row>
    <row r="45" spans="1:61" s="22" customFormat="1" ht="12.75" customHeight="1" x14ac:dyDescent="0.2">
      <c r="A45" s="361" t="s">
        <v>3</v>
      </c>
      <c r="B45" s="361"/>
      <c r="C45" s="68">
        <f>C43/C44</f>
        <v>618.63636363636363</v>
      </c>
      <c r="D45" s="68">
        <f>D43/C44</f>
        <v>689.63636363636363</v>
      </c>
      <c r="E45" s="68">
        <f>E43/21</f>
        <v>176.38095238095238</v>
      </c>
      <c r="F45" s="68">
        <f>F43/21</f>
        <v>7.666666666666667</v>
      </c>
      <c r="G45" s="68">
        <f>G43/21</f>
        <v>14.476190476190476</v>
      </c>
      <c r="H45" s="387">
        <f>SUM(C45:G45)</f>
        <v>1506.7965367965367</v>
      </c>
      <c r="I45" s="387"/>
      <c r="J45" s="387"/>
      <c r="K45" s="387"/>
      <c r="L45" s="41"/>
      <c r="M45" s="68">
        <f>M43/M44</f>
        <v>553.80952380952385</v>
      </c>
      <c r="N45" s="68">
        <f>N43/M44</f>
        <v>761.09523809523807</v>
      </c>
      <c r="O45" s="68">
        <f>O43/20</f>
        <v>171.6</v>
      </c>
      <c r="P45" s="68">
        <f t="shared" ref="P45:Q45" si="19">P43/20</f>
        <v>8.4</v>
      </c>
      <c r="Q45" s="68">
        <f t="shared" si="19"/>
        <v>14.3</v>
      </c>
      <c r="R45" s="387">
        <f>SUM(M45:Q45)</f>
        <v>1509.2047619047619</v>
      </c>
      <c r="S45" s="387"/>
      <c r="T45" s="387"/>
      <c r="U45" s="387"/>
      <c r="V45" s="41"/>
      <c r="W45" s="75">
        <f>W43/$W$44</f>
        <v>547.76190476190482</v>
      </c>
      <c r="X45" s="75">
        <f t="shared" ref="X45:AA45" si="20">X43/$W$44</f>
        <v>757.52380952380952</v>
      </c>
      <c r="Y45" s="75">
        <f t="shared" si="20"/>
        <v>159.33333333333334</v>
      </c>
      <c r="Z45" s="75">
        <f t="shared" si="20"/>
        <v>8.0952380952380949</v>
      </c>
      <c r="AA45" s="75">
        <f t="shared" si="20"/>
        <v>19.285714285714285</v>
      </c>
      <c r="AB45" s="387">
        <f>AB43/W44</f>
        <v>1492</v>
      </c>
      <c r="AC45" s="387"/>
      <c r="AD45" s="387"/>
      <c r="AE45" s="387"/>
      <c r="AF45" s="41"/>
      <c r="AG45" s="198">
        <f>AG43/AG44</f>
        <v>550.80952380952385</v>
      </c>
      <c r="AH45" s="198">
        <f>AH43/AG44</f>
        <v>805</v>
      </c>
      <c r="AI45" s="198">
        <f>AI43/AG44</f>
        <v>168.8095238095238</v>
      </c>
      <c r="AJ45" s="198">
        <f>AJ43/AG44</f>
        <v>6.4761904761904763</v>
      </c>
      <c r="AK45" s="198">
        <f>AK43/AG44</f>
        <v>24.80952380952381</v>
      </c>
      <c r="AL45" s="216">
        <f>SUM(AG45:AK45)</f>
        <v>1555.9047619047619</v>
      </c>
      <c r="AM45" s="217"/>
      <c r="AN45" s="217"/>
      <c r="AO45" s="218"/>
      <c r="AP45" s="41"/>
      <c r="AQ45" s="68">
        <f>AQ43/AQ44</f>
        <v>479.63157894736844</v>
      </c>
      <c r="AR45" s="68">
        <f>AR43/AQ44</f>
        <v>783.57894736842104</v>
      </c>
      <c r="AS45" s="68">
        <f>AS43/AQ44</f>
        <v>169.63157894736841</v>
      </c>
      <c r="AT45" s="68">
        <f>AT43/AQ44</f>
        <v>6.1578947368421053</v>
      </c>
      <c r="AU45" s="68">
        <f>AU43/AQ44</f>
        <v>24.578947368421051</v>
      </c>
      <c r="AV45" s="212">
        <f>SUM(AQ45:AU45)</f>
        <v>1463.578947368421</v>
      </c>
      <c r="AW45" s="55"/>
      <c r="AX45" s="55"/>
      <c r="AY45" s="55"/>
      <c r="AZ45" s="41"/>
      <c r="BA45" s="68">
        <f>BA43/BA44</f>
        <v>554.65</v>
      </c>
      <c r="BB45" s="68">
        <f>BB43/BA44</f>
        <v>796.85</v>
      </c>
      <c r="BC45" s="68">
        <f>BC43/22</f>
        <v>160.90909090909091</v>
      </c>
      <c r="BD45" s="68">
        <f>BD43/22</f>
        <v>6.5</v>
      </c>
      <c r="BE45" s="68">
        <f>BE43/22</f>
        <v>43.909090909090907</v>
      </c>
      <c r="BF45" s="387">
        <f>BF43/BA44</f>
        <v>1583.95</v>
      </c>
      <c r="BG45" s="387"/>
      <c r="BH45" s="387"/>
      <c r="BI45" s="387"/>
    </row>
    <row r="46" spans="1:61" s="22" customFormat="1" ht="12.75" customHeight="1" x14ac:dyDescent="0.2">
      <c r="A46" s="365" t="s">
        <v>35</v>
      </c>
      <c r="B46" s="365"/>
      <c r="C46" s="68">
        <f>COUNTIF(C11:C41,"&gt;1350")</f>
        <v>0</v>
      </c>
      <c r="D46" s="68">
        <f>COUNTIF(D11:D41,"&gt;1450")</f>
        <v>0</v>
      </c>
      <c r="E46" s="68"/>
      <c r="F46" s="68"/>
      <c r="G46" s="68"/>
      <c r="H46" s="386"/>
      <c r="I46" s="386"/>
      <c r="J46" s="386"/>
      <c r="K46" s="386"/>
      <c r="L46" s="41"/>
      <c r="M46" s="68">
        <f>COUNTIF(M11:M41,"&gt;1350")</f>
        <v>0</v>
      </c>
      <c r="N46" s="68">
        <f>COUNTIF(N11:N41,"&gt;1450")</f>
        <v>0</v>
      </c>
      <c r="O46" s="68"/>
      <c r="P46" s="68"/>
      <c r="Q46" s="68"/>
      <c r="R46" s="386"/>
      <c r="S46" s="386"/>
      <c r="T46" s="386"/>
      <c r="U46" s="386"/>
      <c r="V46" s="41"/>
      <c r="W46" s="75">
        <f>COUNTIF(W11:W41,"&gt;1350")</f>
        <v>0</v>
      </c>
      <c r="X46" s="68">
        <f>COUNTIF(X11:X41,"&gt;1450")</f>
        <v>0</v>
      </c>
      <c r="Y46" s="68"/>
      <c r="Z46" s="68"/>
      <c r="AA46" s="68"/>
      <c r="AB46" s="391"/>
      <c r="AC46" s="391"/>
      <c r="AD46" s="391"/>
      <c r="AE46" s="391"/>
      <c r="AF46" s="41"/>
      <c r="AG46" s="198">
        <f>COUNTIF(AG11:AG41,"&gt;1350")</f>
        <v>0</v>
      </c>
      <c r="AH46" s="136">
        <f>COUNTIF(AH11:AH41,"&gt;1450")</f>
        <v>0</v>
      </c>
      <c r="AI46" s="136"/>
      <c r="AJ46" s="198"/>
      <c r="AK46" s="198"/>
      <c r="AL46" s="131"/>
      <c r="AM46" s="131"/>
      <c r="AN46" s="131"/>
      <c r="AO46" s="131"/>
      <c r="AP46" s="41"/>
      <c r="AQ46" s="68">
        <f>COUNTIF(AQ11:AQ41,"&gt;1350")</f>
        <v>0</v>
      </c>
      <c r="AR46" s="68">
        <f>COUNTIF(AR11:AR41,"&gt;1450")</f>
        <v>0</v>
      </c>
      <c r="AS46" s="68">
        <f t="shared" ref="AS46:AU46" si="21">COUNTIF(AS11:AS41,"&gt;1450")</f>
        <v>0</v>
      </c>
      <c r="AT46" s="68">
        <f t="shared" si="21"/>
        <v>0</v>
      </c>
      <c r="AU46" s="68">
        <f t="shared" si="21"/>
        <v>0</v>
      </c>
      <c r="AV46" s="131"/>
      <c r="AW46" s="131"/>
      <c r="AX46" s="131"/>
      <c r="AY46" s="131"/>
      <c r="AZ46" s="41"/>
      <c r="BA46" s="68">
        <f>COUNTIF(BA11:BA41,"&gt;1350")</f>
        <v>0</v>
      </c>
      <c r="BB46" s="68">
        <f>COUNTIF(BB11:BB41,"&gt;1450")</f>
        <v>0</v>
      </c>
      <c r="BC46" s="68">
        <f t="shared" ref="BC46:BE46" si="22">COUNTIF(BC11:BC41,"&gt;1450")</f>
        <v>0</v>
      </c>
      <c r="BD46" s="68">
        <f t="shared" si="22"/>
        <v>0</v>
      </c>
      <c r="BE46" s="68">
        <f t="shared" si="22"/>
        <v>0</v>
      </c>
      <c r="BF46" s="386"/>
      <c r="BG46" s="386"/>
      <c r="BH46" s="386"/>
      <c r="BI46" s="386"/>
    </row>
    <row r="47" spans="1:61" s="22" customFormat="1" ht="12.75" customHeight="1" x14ac:dyDescent="0.2">
      <c r="A47" s="364" t="s">
        <v>36</v>
      </c>
      <c r="B47" s="364"/>
      <c r="C47" s="68">
        <f>COUNTIF(C11:C41,"&lt;1350")</f>
        <v>20</v>
      </c>
      <c r="D47" s="68">
        <f>COUNTIF(D11:D41,"&lt;1450")</f>
        <v>17</v>
      </c>
      <c r="E47" s="68"/>
      <c r="F47" s="68"/>
      <c r="G47" s="68"/>
      <c r="H47" s="386"/>
      <c r="I47" s="386"/>
      <c r="J47" s="386"/>
      <c r="K47" s="386"/>
      <c r="L47" s="41"/>
      <c r="M47" s="68">
        <f>COUNTIF(M11:M41,"&lt;1350")</f>
        <v>19</v>
      </c>
      <c r="N47" s="68">
        <f>COUNTIF(N11:N41,"&lt;1450")</f>
        <v>19</v>
      </c>
      <c r="O47" s="68"/>
      <c r="P47" s="68"/>
      <c r="Q47" s="68"/>
      <c r="R47" s="386"/>
      <c r="S47" s="386"/>
      <c r="T47" s="386"/>
      <c r="U47" s="386"/>
      <c r="V47" s="41"/>
      <c r="W47" s="75">
        <f>COUNTIF(W11:W41,"&lt;1350")</f>
        <v>18</v>
      </c>
      <c r="X47" s="68">
        <f>COUNTIF(X11:X41,"&lt;1450")</f>
        <v>18</v>
      </c>
      <c r="Y47" s="68"/>
      <c r="Z47" s="68"/>
      <c r="AA47" s="68"/>
      <c r="AB47" s="391"/>
      <c r="AC47" s="391"/>
      <c r="AD47" s="391"/>
      <c r="AE47" s="391"/>
      <c r="AF47" s="41"/>
      <c r="AG47" s="198">
        <f>COUNTIF(AG11:AG41,"&lt;1350")</f>
        <v>19</v>
      </c>
      <c r="AH47" s="136">
        <f>COUNTIF(AH11:AH41,"&lt;1450")</f>
        <v>19</v>
      </c>
      <c r="AI47" s="136">
        <f t="shared" ref="AI47:AK47" si="23">COUNTIF(AI11:AI41,"&lt;1450")</f>
        <v>21</v>
      </c>
      <c r="AJ47" s="198">
        <f t="shared" si="23"/>
        <v>21</v>
      </c>
      <c r="AK47" s="198">
        <f t="shared" si="23"/>
        <v>19</v>
      </c>
      <c r="AL47" s="131"/>
      <c r="AM47" s="131"/>
      <c r="AN47" s="131"/>
      <c r="AO47" s="131"/>
      <c r="AP47" s="41"/>
      <c r="AQ47" s="68">
        <f>COUNTIF(AQ11:AQ41,"&lt;1350")</f>
        <v>15</v>
      </c>
      <c r="AR47" s="68">
        <f>COUNTIF(AR11:AR41,"&lt;1450")</f>
        <v>17</v>
      </c>
      <c r="AS47" s="68">
        <f t="shared" ref="AS47" si="24">COUNTIF(AS11:AS41,"&lt;1350")</f>
        <v>18</v>
      </c>
      <c r="AT47" s="68">
        <f t="shared" ref="AT47" si="25">COUNTIF(AT11:AT41,"&lt;1450")</f>
        <v>18</v>
      </c>
      <c r="AU47" s="68">
        <f t="shared" ref="AU47" si="26">COUNTIF(AU11:AU41,"&lt;1350")</f>
        <v>18</v>
      </c>
      <c r="AV47" s="131"/>
      <c r="AW47" s="131"/>
      <c r="AX47" s="131"/>
      <c r="AY47" s="131"/>
      <c r="AZ47" s="41"/>
      <c r="BA47" s="68">
        <f>COUNTIF(BA11:BA41,"&lt;1350")</f>
        <v>18</v>
      </c>
      <c r="BB47" s="68">
        <f t="shared" ref="BB47:BE47" si="27">COUNTIF(BB11:BB41,"&lt;1350")</f>
        <v>18</v>
      </c>
      <c r="BC47" s="68">
        <f t="shared" si="27"/>
        <v>20</v>
      </c>
      <c r="BD47" s="68">
        <f t="shared" si="27"/>
        <v>20</v>
      </c>
      <c r="BE47" s="68">
        <f t="shared" si="27"/>
        <v>20</v>
      </c>
      <c r="BF47" s="386"/>
      <c r="BG47" s="386"/>
      <c r="BH47" s="386"/>
      <c r="BI47" s="386"/>
    </row>
    <row r="48" spans="1:61" ht="15.75" customHeight="1" x14ac:dyDescent="0.15">
      <c r="V48" s="2" t="s">
        <v>50</v>
      </c>
      <c r="AF48" s="20"/>
      <c r="AG48" s="20"/>
    </row>
    <row r="49" spans="1:61" ht="15.75" customHeight="1" x14ac:dyDescent="0.15">
      <c r="A49" s="20"/>
      <c r="L49" s="15"/>
      <c r="M49" s="15" t="s">
        <v>2</v>
      </c>
      <c r="N49" s="15"/>
      <c r="O49" s="15"/>
      <c r="P49" s="15"/>
      <c r="Q49" s="15"/>
      <c r="R49" s="259"/>
      <c r="S49" s="44"/>
      <c r="T49" s="44"/>
      <c r="V49" s="3"/>
      <c r="AB49" s="360"/>
      <c r="AC49" s="360"/>
      <c r="AD49" s="360"/>
      <c r="AE49" s="13"/>
      <c r="AF49" s="20"/>
      <c r="AG49" s="20"/>
      <c r="AP49" s="20"/>
      <c r="AZ49" s="3"/>
    </row>
    <row r="50" spans="1:61" ht="12.75" customHeight="1" x14ac:dyDescent="0.15">
      <c r="S50" s="380"/>
      <c r="T50" s="380"/>
      <c r="U50" s="380"/>
      <c r="V50" s="380"/>
      <c r="W50" s="380"/>
    </row>
    <row r="51" spans="1:61" ht="15.95" customHeight="1" x14ac:dyDescent="0.15">
      <c r="A51" s="381" t="s">
        <v>10</v>
      </c>
      <c r="B51" s="382" t="s">
        <v>17</v>
      </c>
      <c r="C51" s="382"/>
      <c r="D51" s="382"/>
      <c r="E51" s="382"/>
      <c r="F51" s="382"/>
      <c r="G51" s="382"/>
      <c r="H51" s="382"/>
      <c r="I51" s="382"/>
      <c r="J51" s="382"/>
      <c r="K51" s="382"/>
      <c r="L51" s="382" t="s">
        <v>38</v>
      </c>
      <c r="M51" s="382"/>
      <c r="N51" s="382"/>
      <c r="O51" s="382"/>
      <c r="P51" s="382"/>
      <c r="Q51" s="382"/>
      <c r="R51" s="382"/>
      <c r="S51" s="382"/>
      <c r="T51" s="382"/>
      <c r="U51" s="382"/>
      <c r="V51" s="382" t="s">
        <v>39</v>
      </c>
      <c r="W51" s="382"/>
      <c r="X51" s="382"/>
      <c r="Y51" s="382"/>
      <c r="Z51" s="382"/>
      <c r="AA51" s="382"/>
      <c r="AB51" s="382"/>
      <c r="AC51" s="382"/>
      <c r="AD51" s="382"/>
      <c r="AE51" s="382"/>
      <c r="AF51" s="382" t="s">
        <v>40</v>
      </c>
      <c r="AG51" s="382"/>
      <c r="AH51" s="382"/>
      <c r="AI51" s="382"/>
      <c r="AJ51" s="382"/>
      <c r="AK51" s="382"/>
      <c r="AL51" s="382"/>
      <c r="AM51" s="382"/>
      <c r="AN51" s="382"/>
      <c r="AO51" s="382"/>
      <c r="AP51" s="382" t="s">
        <v>41</v>
      </c>
      <c r="AQ51" s="382"/>
      <c r="AR51" s="382"/>
      <c r="AS51" s="382"/>
      <c r="AT51" s="382"/>
      <c r="AU51" s="382"/>
      <c r="AV51" s="382"/>
      <c r="AW51" s="382"/>
      <c r="AX51" s="382"/>
      <c r="AY51" s="382"/>
      <c r="AZ51" s="382" t="s">
        <v>42</v>
      </c>
      <c r="BA51" s="382"/>
      <c r="BB51" s="382"/>
      <c r="BC51" s="382"/>
      <c r="BD51" s="382"/>
      <c r="BE51" s="382"/>
      <c r="BF51" s="382"/>
      <c r="BG51" s="382"/>
      <c r="BH51" s="382"/>
      <c r="BI51" s="382"/>
    </row>
    <row r="52" spans="1:61" ht="13.7" customHeight="1" x14ac:dyDescent="0.15">
      <c r="A52" s="381"/>
      <c r="B52" s="384" t="s">
        <v>18</v>
      </c>
      <c r="C52" s="383" t="s">
        <v>19</v>
      </c>
      <c r="D52" s="383"/>
      <c r="E52" s="383"/>
      <c r="F52" s="383"/>
      <c r="G52" s="383"/>
      <c r="H52" s="383"/>
      <c r="I52" s="383"/>
      <c r="J52" s="383"/>
      <c r="K52" s="383"/>
      <c r="L52" s="384" t="s">
        <v>18</v>
      </c>
      <c r="M52" s="383" t="s">
        <v>19</v>
      </c>
      <c r="N52" s="383"/>
      <c r="O52" s="383"/>
      <c r="P52" s="383"/>
      <c r="Q52" s="383"/>
      <c r="R52" s="383"/>
      <c r="S52" s="383"/>
      <c r="T52" s="383"/>
      <c r="U52" s="383"/>
      <c r="V52" s="384" t="s">
        <v>18</v>
      </c>
      <c r="W52" s="383" t="s">
        <v>19</v>
      </c>
      <c r="X52" s="383"/>
      <c r="Y52" s="383"/>
      <c r="Z52" s="383"/>
      <c r="AA52" s="383"/>
      <c r="AB52" s="383"/>
      <c r="AC52" s="383"/>
      <c r="AD52" s="383"/>
      <c r="AE52" s="383"/>
      <c r="AF52" s="384" t="s">
        <v>18</v>
      </c>
      <c r="AG52" s="383" t="s">
        <v>19</v>
      </c>
      <c r="AH52" s="383"/>
      <c r="AI52" s="383"/>
      <c r="AJ52" s="383"/>
      <c r="AK52" s="383"/>
      <c r="AL52" s="383"/>
      <c r="AM52" s="383"/>
      <c r="AN52" s="383"/>
      <c r="AO52" s="383"/>
      <c r="AP52" s="384" t="s">
        <v>18</v>
      </c>
      <c r="AQ52" s="383" t="s">
        <v>19</v>
      </c>
      <c r="AR52" s="383"/>
      <c r="AS52" s="383"/>
      <c r="AT52" s="383"/>
      <c r="AU52" s="383"/>
      <c r="AV52" s="383"/>
      <c r="AW52" s="383"/>
      <c r="AX52" s="383"/>
      <c r="AY52" s="383"/>
      <c r="AZ52" s="384" t="s">
        <v>18</v>
      </c>
      <c r="BA52" s="383" t="s">
        <v>19</v>
      </c>
      <c r="BB52" s="383"/>
      <c r="BC52" s="383"/>
      <c r="BD52" s="383"/>
      <c r="BE52" s="383"/>
      <c r="BF52" s="383"/>
      <c r="BG52" s="383"/>
      <c r="BH52" s="383"/>
      <c r="BI52" s="383"/>
    </row>
    <row r="53" spans="1:61" ht="13.7" customHeight="1" x14ac:dyDescent="0.15">
      <c r="A53" s="381"/>
      <c r="B53" s="384"/>
      <c r="C53" s="26" t="s">
        <v>20</v>
      </c>
      <c r="D53" s="26" t="s">
        <v>21</v>
      </c>
      <c r="E53" s="26" t="s">
        <v>46</v>
      </c>
      <c r="F53" s="23" t="s">
        <v>52</v>
      </c>
      <c r="G53" s="24" t="s">
        <v>53</v>
      </c>
      <c r="H53" s="385" t="s">
        <v>22</v>
      </c>
      <c r="I53" s="385"/>
      <c r="J53" s="385"/>
      <c r="K53" s="385"/>
      <c r="L53" s="384"/>
      <c r="M53" s="26" t="s">
        <v>20</v>
      </c>
      <c r="N53" s="26" t="s">
        <v>21</v>
      </c>
      <c r="O53" s="26" t="s">
        <v>46</v>
      </c>
      <c r="P53" s="23" t="s">
        <v>52</v>
      </c>
      <c r="Q53" s="23" t="s">
        <v>53</v>
      </c>
      <c r="R53" s="385" t="s">
        <v>22</v>
      </c>
      <c r="S53" s="385"/>
      <c r="T53" s="385"/>
      <c r="U53" s="385"/>
      <c r="V53" s="384"/>
      <c r="W53" s="25" t="s">
        <v>20</v>
      </c>
      <c r="X53" s="26" t="s">
        <v>21</v>
      </c>
      <c r="Y53" s="26" t="s">
        <v>46</v>
      </c>
      <c r="Z53" s="23" t="s">
        <v>52</v>
      </c>
      <c r="AA53" s="23" t="s">
        <v>53</v>
      </c>
      <c r="AB53" s="385" t="s">
        <v>22</v>
      </c>
      <c r="AC53" s="385"/>
      <c r="AD53" s="385"/>
      <c r="AE53" s="385"/>
      <c r="AF53" s="384"/>
      <c r="AG53" s="192" t="s">
        <v>20</v>
      </c>
      <c r="AH53" s="27" t="s">
        <v>21</v>
      </c>
      <c r="AI53" s="27" t="s">
        <v>46</v>
      </c>
      <c r="AJ53" s="201" t="s">
        <v>52</v>
      </c>
      <c r="AK53" s="201" t="s">
        <v>53</v>
      </c>
      <c r="AL53" s="385" t="s">
        <v>22</v>
      </c>
      <c r="AM53" s="385"/>
      <c r="AN53" s="385"/>
      <c r="AO53" s="385"/>
      <c r="AP53" s="384"/>
      <c r="AQ53" s="26" t="s">
        <v>20</v>
      </c>
      <c r="AR53" s="26" t="s">
        <v>21</v>
      </c>
      <c r="AS53" s="26" t="s">
        <v>46</v>
      </c>
      <c r="AT53" s="23" t="s">
        <v>52</v>
      </c>
      <c r="AU53" s="23" t="s">
        <v>53</v>
      </c>
      <c r="AV53" s="385" t="s">
        <v>22</v>
      </c>
      <c r="AW53" s="385"/>
      <c r="AX53" s="385"/>
      <c r="AY53" s="385"/>
      <c r="AZ53" s="384"/>
      <c r="BA53" s="23" t="s">
        <v>20</v>
      </c>
      <c r="BB53" s="23" t="s">
        <v>21</v>
      </c>
      <c r="BC53" s="23" t="s">
        <v>46</v>
      </c>
      <c r="BD53" s="23" t="s">
        <v>52</v>
      </c>
      <c r="BE53" s="23" t="s">
        <v>53</v>
      </c>
      <c r="BF53" s="385" t="s">
        <v>22</v>
      </c>
      <c r="BG53" s="385"/>
      <c r="BH53" s="385"/>
      <c r="BI53" s="385"/>
    </row>
    <row r="54" spans="1:61" ht="14.65" customHeight="1" x14ac:dyDescent="0.2">
      <c r="A54" s="28" t="s">
        <v>23</v>
      </c>
      <c r="B54" s="30" t="s">
        <v>26</v>
      </c>
      <c r="C54" s="281">
        <f>726</f>
        <v>726</v>
      </c>
      <c r="D54" s="281">
        <v>0</v>
      </c>
      <c r="E54" s="281">
        <v>172</v>
      </c>
      <c r="F54" s="281">
        <v>0</v>
      </c>
      <c r="G54" s="281">
        <v>1</v>
      </c>
      <c r="H54" s="236">
        <f>SUM(C54:G54)</f>
        <v>899</v>
      </c>
      <c r="I54" s="132"/>
      <c r="J54" s="132"/>
      <c r="K54" s="133"/>
      <c r="L54" s="38" t="s">
        <v>27</v>
      </c>
      <c r="M54" s="227">
        <v>455</v>
      </c>
      <c r="N54" s="57"/>
      <c r="O54" s="112">
        <v>82</v>
      </c>
      <c r="P54" s="170">
        <f>1</f>
        <v>1</v>
      </c>
      <c r="Q54" s="112">
        <v>4</v>
      </c>
      <c r="R54" s="69">
        <f>SUM((M54:Q54))</f>
        <v>542</v>
      </c>
      <c r="S54" s="373"/>
      <c r="T54" s="373"/>
      <c r="U54" s="373"/>
      <c r="V54" s="30" t="s">
        <v>31</v>
      </c>
      <c r="W54" s="58"/>
      <c r="X54" s="58"/>
      <c r="Y54" s="58"/>
      <c r="Z54" s="186"/>
      <c r="AA54" s="186"/>
      <c r="AB54" s="58"/>
      <c r="AC54" s="64"/>
      <c r="AD54" s="64"/>
      <c r="AE54" s="64"/>
      <c r="AF54" s="30" t="s">
        <v>30</v>
      </c>
      <c r="AG54" s="243"/>
      <c r="AH54" s="244"/>
      <c r="AI54" s="244"/>
      <c r="AJ54" s="243"/>
      <c r="AK54" s="243"/>
      <c r="AL54" s="134">
        <f>SUM(AG54:AK54)</f>
        <v>0</v>
      </c>
      <c r="AM54" s="31"/>
      <c r="AN54" s="31"/>
      <c r="AO54" s="32"/>
      <c r="AP54" s="30" t="s">
        <v>24</v>
      </c>
      <c r="AQ54" s="375" t="s">
        <v>43</v>
      </c>
      <c r="AR54" s="375"/>
      <c r="AS54" s="375"/>
      <c r="AT54" s="375"/>
      <c r="AU54" s="375"/>
      <c r="AV54" s="375"/>
      <c r="AW54" s="376"/>
      <c r="AX54" s="376"/>
      <c r="AY54" s="376"/>
      <c r="AZ54" s="30" t="s">
        <v>31</v>
      </c>
      <c r="BA54" s="58"/>
      <c r="BB54" s="58"/>
      <c r="BC54" s="58"/>
      <c r="BD54" s="58"/>
      <c r="BE54" s="58"/>
      <c r="BF54" s="58"/>
      <c r="BG54" s="51"/>
      <c r="BH54" s="51"/>
      <c r="BI54" s="52"/>
    </row>
    <row r="55" spans="1:61" ht="14.65" customHeight="1" x14ac:dyDescent="0.2">
      <c r="A55" s="28">
        <v>2</v>
      </c>
      <c r="B55" s="30" t="s">
        <v>30</v>
      </c>
      <c r="C55" s="257">
        <v>698</v>
      </c>
      <c r="D55" s="281">
        <v>0</v>
      </c>
      <c r="E55" s="257">
        <v>157</v>
      </c>
      <c r="F55" s="257">
        <v>2</v>
      </c>
      <c r="G55" s="257">
        <v>8</v>
      </c>
      <c r="H55" s="257">
        <f>SUM(C55:G55)</f>
        <v>865</v>
      </c>
      <c r="I55" s="55"/>
      <c r="J55" s="55"/>
      <c r="K55" s="106"/>
      <c r="L55" s="38" t="s">
        <v>24</v>
      </c>
      <c r="M55" s="69">
        <v>247</v>
      </c>
      <c r="N55" s="57"/>
      <c r="O55" s="81">
        <v>77</v>
      </c>
      <c r="P55" s="57"/>
      <c r="Q55" s="81">
        <v>2</v>
      </c>
      <c r="R55" s="69">
        <f>SUM((M55:Q55))</f>
        <v>326</v>
      </c>
      <c r="S55" s="373"/>
      <c r="T55" s="373"/>
      <c r="U55" s="373"/>
      <c r="V55" s="30" t="s">
        <v>26</v>
      </c>
      <c r="W55" s="57"/>
      <c r="X55" s="57"/>
      <c r="Y55" s="57"/>
      <c r="Z55" s="81"/>
      <c r="AA55" s="81"/>
      <c r="AB55" s="57">
        <f t="shared" ref="AB55:AB59" si="28">SUM(W55:AA55)</f>
        <v>0</v>
      </c>
      <c r="AC55" s="105"/>
      <c r="AD55" s="105"/>
      <c r="AE55" s="54"/>
      <c r="AF55" s="30" t="s">
        <v>32</v>
      </c>
      <c r="AG55" s="195"/>
      <c r="AH55" s="95"/>
      <c r="AI55" s="95"/>
      <c r="AJ55" s="195"/>
      <c r="AK55" s="195"/>
      <c r="AL55" s="134">
        <f>SUM(AG55:AK55)</f>
        <v>0</v>
      </c>
      <c r="AM55" s="53"/>
      <c r="AN55" s="53"/>
      <c r="AO55" s="54"/>
      <c r="AP55" s="30" t="s">
        <v>28</v>
      </c>
      <c r="AQ55" s="58"/>
      <c r="AR55" s="58"/>
      <c r="AS55" s="58"/>
      <c r="AT55" s="58"/>
      <c r="AU55" s="58"/>
      <c r="AV55" s="58"/>
      <c r="AW55" s="110"/>
      <c r="AX55" s="110"/>
      <c r="AY55" s="110"/>
      <c r="AZ55" s="30" t="s">
        <v>26</v>
      </c>
      <c r="BA55" s="170"/>
      <c r="BB55" s="170"/>
      <c r="BC55" s="170"/>
      <c r="BD55" s="170"/>
      <c r="BE55" s="170"/>
      <c r="BF55" s="57">
        <f t="shared" ref="BF55:BF66" si="29">SUM(BA55:BE55)</f>
        <v>0</v>
      </c>
      <c r="BG55" s="53"/>
      <c r="BH55" s="53"/>
      <c r="BI55" s="54"/>
    </row>
    <row r="56" spans="1:61" ht="14.65" customHeight="1" x14ac:dyDescent="0.2">
      <c r="A56" s="28">
        <v>3</v>
      </c>
      <c r="B56" s="30" t="s">
        <v>32</v>
      </c>
      <c r="C56" s="205">
        <f>630</f>
        <v>630</v>
      </c>
      <c r="D56" s="281">
        <v>0</v>
      </c>
      <c r="E56" s="205">
        <v>148</v>
      </c>
      <c r="F56" s="205">
        <f>1</f>
        <v>1</v>
      </c>
      <c r="G56" s="205">
        <f>8</f>
        <v>8</v>
      </c>
      <c r="H56" s="69">
        <f t="shared" ref="H56:H57" si="30">SUM(C56:G56)</f>
        <v>787</v>
      </c>
      <c r="I56" s="55"/>
      <c r="J56" s="55"/>
      <c r="K56" s="54"/>
      <c r="L56" s="38" t="s">
        <v>28</v>
      </c>
      <c r="M56" s="109"/>
      <c r="N56" s="58"/>
      <c r="O56" s="186"/>
      <c r="P56" s="58"/>
      <c r="Q56" s="186"/>
      <c r="R56" s="109"/>
      <c r="S56" s="373"/>
      <c r="T56" s="373"/>
      <c r="U56" s="373"/>
      <c r="V56" s="30" t="s">
        <v>30</v>
      </c>
      <c r="W56" s="57"/>
      <c r="X56" s="57"/>
      <c r="Y56" s="57"/>
      <c r="Z56" s="81"/>
      <c r="AA56" s="81"/>
      <c r="AB56" s="57">
        <f t="shared" si="28"/>
        <v>0</v>
      </c>
      <c r="AC56" s="53"/>
      <c r="AD56" s="53"/>
      <c r="AE56" s="54"/>
      <c r="AF56" s="30" t="s">
        <v>27</v>
      </c>
      <c r="AG56" s="199"/>
      <c r="AH56" s="174"/>
      <c r="AI56" s="174"/>
      <c r="AJ56" s="199"/>
      <c r="AK56" s="199"/>
      <c r="AL56" s="199">
        <f>SUM(AG56:AK56)</f>
        <v>0</v>
      </c>
      <c r="AM56" s="53"/>
      <c r="AN56" s="53"/>
      <c r="AO56" s="54"/>
      <c r="AP56" s="30" t="s">
        <v>31</v>
      </c>
      <c r="AQ56" s="58"/>
      <c r="AR56" s="58"/>
      <c r="AS56" s="58"/>
      <c r="AT56" s="58"/>
      <c r="AU56" s="58"/>
      <c r="AV56" s="58"/>
      <c r="AW56" s="110"/>
      <c r="AX56" s="110"/>
      <c r="AY56" s="110"/>
      <c r="AZ56" s="30" t="s">
        <v>30</v>
      </c>
      <c r="BA56" s="170"/>
      <c r="BB56" s="170"/>
      <c r="BC56" s="170"/>
      <c r="BD56" s="170"/>
      <c r="BE56" s="170"/>
      <c r="BF56" s="57">
        <f t="shared" si="29"/>
        <v>0</v>
      </c>
      <c r="BG56" s="53"/>
      <c r="BH56" s="53"/>
      <c r="BI56" s="54"/>
    </row>
    <row r="57" spans="1:61" ht="14.65" customHeight="1" x14ac:dyDescent="0.2">
      <c r="A57" s="28">
        <v>4</v>
      </c>
      <c r="B57" s="30" t="s">
        <v>27</v>
      </c>
      <c r="C57" s="69">
        <v>634</v>
      </c>
      <c r="D57" s="281">
        <v>0</v>
      </c>
      <c r="E57" s="69">
        <v>178</v>
      </c>
      <c r="F57" s="69">
        <v>1</v>
      </c>
      <c r="G57" s="69">
        <v>7</v>
      </c>
      <c r="H57" s="69">
        <f t="shared" si="30"/>
        <v>820</v>
      </c>
      <c r="I57" s="377"/>
      <c r="J57" s="377"/>
      <c r="K57" s="377"/>
      <c r="L57" s="38" t="s">
        <v>31</v>
      </c>
      <c r="M57" s="109"/>
      <c r="N57" s="58"/>
      <c r="O57" s="186"/>
      <c r="P57" s="58"/>
      <c r="Q57" s="186"/>
      <c r="R57" s="109"/>
      <c r="S57" s="373"/>
      <c r="T57" s="373"/>
      <c r="U57" s="373"/>
      <c r="V57" s="30" t="s">
        <v>32</v>
      </c>
      <c r="W57" s="57"/>
      <c r="X57" s="57"/>
      <c r="Y57" s="57"/>
      <c r="Z57" s="81"/>
      <c r="AA57" s="81"/>
      <c r="AB57" s="57">
        <f t="shared" si="28"/>
        <v>0</v>
      </c>
      <c r="AC57" s="53"/>
      <c r="AD57" s="53"/>
      <c r="AE57" s="54"/>
      <c r="AF57" s="30" t="s">
        <v>24</v>
      </c>
      <c r="AG57" s="195"/>
      <c r="AH57" s="95"/>
      <c r="AI57" s="95"/>
      <c r="AJ57" s="195"/>
      <c r="AK57" s="195"/>
      <c r="AL57" s="71">
        <f t="shared" ref="AL57" si="31">SUM(AG57:AK57)</f>
        <v>0</v>
      </c>
      <c r="AM57" s="53"/>
      <c r="AN57" s="53"/>
      <c r="AO57" s="54"/>
      <c r="AP57" s="30" t="s">
        <v>26</v>
      </c>
      <c r="AQ57" s="170"/>
      <c r="AR57" s="170"/>
      <c r="AS57" s="170"/>
      <c r="AT57" s="170"/>
      <c r="AU57" s="170"/>
      <c r="AV57" s="170">
        <f t="shared" ref="AV57:AV61" si="32">SUM(AQ57:AU57)</f>
        <v>0</v>
      </c>
      <c r="AW57" s="110"/>
      <c r="AX57" s="110"/>
      <c r="AY57" s="110"/>
      <c r="AZ57" s="30" t="s">
        <v>32</v>
      </c>
      <c r="BA57" s="57"/>
      <c r="BB57" s="57"/>
      <c r="BC57" s="57"/>
      <c r="BD57" s="57"/>
      <c r="BE57" s="57"/>
      <c r="BF57" s="57">
        <f t="shared" si="29"/>
        <v>0</v>
      </c>
      <c r="BG57" s="53"/>
      <c r="BH57" s="53"/>
      <c r="BI57" s="54"/>
    </row>
    <row r="58" spans="1:61" ht="14.65" customHeight="1" x14ac:dyDescent="0.2">
      <c r="A58" s="28">
        <v>5</v>
      </c>
      <c r="B58" s="30" t="s">
        <v>24</v>
      </c>
      <c r="C58" s="137">
        <v>393</v>
      </c>
      <c r="D58" s="281">
        <v>0</v>
      </c>
      <c r="E58" s="137">
        <v>114</v>
      </c>
      <c r="F58" s="137">
        <v>0</v>
      </c>
      <c r="G58" s="137">
        <f>2</f>
        <v>2</v>
      </c>
      <c r="H58" s="137">
        <f t="shared" ref="H58" si="33">SUM((C58:G58))</f>
        <v>509</v>
      </c>
      <c r="I58" s="377"/>
      <c r="J58" s="377"/>
      <c r="K58" s="377"/>
      <c r="L58" s="38" t="s">
        <v>26</v>
      </c>
      <c r="M58" s="237">
        <v>401</v>
      </c>
      <c r="N58" s="237"/>
      <c r="O58" s="237">
        <v>76</v>
      </c>
      <c r="P58" s="237"/>
      <c r="Q58" s="237">
        <v>4</v>
      </c>
      <c r="R58" s="236">
        <f>SUM(M58:Q58)</f>
        <v>481</v>
      </c>
      <c r="S58" s="373"/>
      <c r="T58" s="373"/>
      <c r="U58" s="373"/>
      <c r="V58" s="30" t="s">
        <v>27</v>
      </c>
      <c r="W58" s="170"/>
      <c r="X58" s="170"/>
      <c r="Y58" s="170"/>
      <c r="Z58" s="112"/>
      <c r="AA58" s="112"/>
      <c r="AB58" s="57">
        <f t="shared" si="28"/>
        <v>0</v>
      </c>
      <c r="AC58" s="53"/>
      <c r="AD58" s="53"/>
      <c r="AE58" s="54"/>
      <c r="AF58" s="30" t="s">
        <v>28</v>
      </c>
      <c r="AG58" s="200"/>
      <c r="AH58" s="98"/>
      <c r="AI58" s="98"/>
      <c r="AJ58" s="200"/>
      <c r="AK58" s="200"/>
      <c r="AL58" s="88"/>
      <c r="AM58" s="53"/>
      <c r="AN58" s="53"/>
      <c r="AO58" s="54"/>
      <c r="AP58" s="30" t="s">
        <v>30</v>
      </c>
      <c r="AQ58" s="170"/>
      <c r="AR58" s="170"/>
      <c r="AS58" s="170"/>
      <c r="AT58" s="170"/>
      <c r="AU58" s="170"/>
      <c r="AV58" s="170">
        <f t="shared" si="32"/>
        <v>0</v>
      </c>
      <c r="AW58" s="105"/>
      <c r="AX58" s="105"/>
      <c r="AY58" s="54"/>
      <c r="AZ58" s="30" t="s">
        <v>27</v>
      </c>
      <c r="BA58" s="170"/>
      <c r="BB58" s="170"/>
      <c r="BC58" s="170"/>
      <c r="BD58" s="170"/>
      <c r="BE58" s="170"/>
      <c r="BF58" s="57">
        <f t="shared" si="29"/>
        <v>0</v>
      </c>
      <c r="BG58" s="53"/>
      <c r="BH58" s="53"/>
      <c r="BI58" s="54"/>
    </row>
    <row r="59" spans="1:61" ht="14.65" customHeight="1" x14ac:dyDescent="0.2">
      <c r="A59" s="28">
        <v>6</v>
      </c>
      <c r="B59" s="30" t="s">
        <v>28</v>
      </c>
      <c r="C59" s="295"/>
      <c r="D59" s="295"/>
      <c r="E59" s="295"/>
      <c r="F59" s="295"/>
      <c r="G59" s="295"/>
      <c r="H59" s="252"/>
      <c r="I59" s="378"/>
      <c r="J59" s="378"/>
      <c r="K59" s="378"/>
      <c r="L59" s="38" t="s">
        <v>30</v>
      </c>
      <c r="M59" s="61">
        <v>520</v>
      </c>
      <c r="N59" s="61"/>
      <c r="O59" s="61">
        <v>89</v>
      </c>
      <c r="P59" s="61"/>
      <c r="Q59" s="61">
        <v>2</v>
      </c>
      <c r="R59" s="257">
        <f>SUM(M59:Q59)</f>
        <v>611</v>
      </c>
      <c r="S59" s="373"/>
      <c r="T59" s="373"/>
      <c r="U59" s="373"/>
      <c r="V59" s="30" t="s">
        <v>24</v>
      </c>
      <c r="W59" s="57"/>
      <c r="X59" s="57"/>
      <c r="Y59" s="57"/>
      <c r="Z59" s="81"/>
      <c r="AA59" s="81"/>
      <c r="AB59" s="57">
        <f t="shared" si="28"/>
        <v>0</v>
      </c>
      <c r="AC59" s="53"/>
      <c r="AD59" s="53"/>
      <c r="AE59" s="54"/>
      <c r="AF59" s="30" t="s">
        <v>31</v>
      </c>
      <c r="AG59" s="200"/>
      <c r="AH59" s="98"/>
      <c r="AI59" s="98"/>
      <c r="AJ59" s="200"/>
      <c r="AK59" s="200"/>
      <c r="AL59" s="88"/>
      <c r="AM59" s="53"/>
      <c r="AN59" s="53"/>
      <c r="AO59" s="54"/>
      <c r="AP59" s="30" t="s">
        <v>32</v>
      </c>
      <c r="AQ59" s="57"/>
      <c r="AR59" s="57"/>
      <c r="AS59" s="57"/>
      <c r="AT59" s="57"/>
      <c r="AU59" s="57"/>
      <c r="AV59" s="170">
        <f t="shared" si="32"/>
        <v>0</v>
      </c>
      <c r="AW59" s="53"/>
      <c r="AX59" s="53"/>
      <c r="AY59" s="54"/>
      <c r="AZ59" s="30" t="s">
        <v>24</v>
      </c>
      <c r="BA59" s="57"/>
      <c r="BB59" s="57"/>
      <c r="BC59" s="57"/>
      <c r="BD59" s="57"/>
      <c r="BE59" s="57"/>
      <c r="BF59" s="57">
        <f t="shared" si="29"/>
        <v>0</v>
      </c>
      <c r="BG59" s="53"/>
      <c r="BH59" s="53"/>
      <c r="BI59" s="54"/>
    </row>
    <row r="60" spans="1:61" ht="14.65" customHeight="1" x14ac:dyDescent="0.2">
      <c r="A60" s="28">
        <v>7</v>
      </c>
      <c r="B60" s="30" t="s">
        <v>31</v>
      </c>
      <c r="C60" s="295"/>
      <c r="D60" s="295"/>
      <c r="E60" s="295"/>
      <c r="F60" s="295"/>
      <c r="G60" s="295"/>
      <c r="H60" s="252"/>
      <c r="I60" s="378"/>
      <c r="J60" s="378"/>
      <c r="K60" s="378"/>
      <c r="L60" s="38" t="s">
        <v>32</v>
      </c>
      <c r="M60" s="65">
        <v>411</v>
      </c>
      <c r="N60" s="65"/>
      <c r="O60" s="65">
        <v>74</v>
      </c>
      <c r="P60" s="65"/>
      <c r="Q60" s="65">
        <v>2</v>
      </c>
      <c r="R60" s="69">
        <f t="shared" ref="R60:R61" si="34">SUM(M60:Q60)</f>
        <v>487</v>
      </c>
      <c r="S60" s="373"/>
      <c r="T60" s="373"/>
      <c r="U60" s="373"/>
      <c r="V60" s="30" t="s">
        <v>28</v>
      </c>
      <c r="W60" s="219"/>
      <c r="X60" s="219"/>
      <c r="Y60" s="219"/>
      <c r="Z60" s="220"/>
      <c r="AA60" s="220"/>
      <c r="AB60" s="58"/>
      <c r="AC60" s="53"/>
      <c r="AD60" s="53"/>
      <c r="AE60" s="54"/>
      <c r="AF60" s="30" t="s">
        <v>26</v>
      </c>
      <c r="AG60" s="199"/>
      <c r="AH60" s="174"/>
      <c r="AI60" s="174"/>
      <c r="AJ60" s="199"/>
      <c r="AK60" s="199"/>
      <c r="AL60" s="71">
        <f t="shared" ref="AL60:AL63" si="35">SUM(AG60:AK60)</f>
        <v>0</v>
      </c>
      <c r="AM60" s="53"/>
      <c r="AN60" s="53"/>
      <c r="AO60" s="54"/>
      <c r="AP60" s="30" t="s">
        <v>27</v>
      </c>
      <c r="AQ60" s="170"/>
      <c r="AR60" s="170"/>
      <c r="AS60" s="170"/>
      <c r="AT60" s="170"/>
      <c r="AU60" s="170"/>
      <c r="AV60" s="170">
        <f t="shared" si="32"/>
        <v>0</v>
      </c>
      <c r="AW60" s="53"/>
      <c r="AX60" s="53"/>
      <c r="AY60" s="54"/>
      <c r="AZ60" s="30" t="s">
        <v>28</v>
      </c>
      <c r="BA60" s="58"/>
      <c r="BB60" s="58"/>
      <c r="BC60" s="58"/>
      <c r="BD60" s="58"/>
      <c r="BE60" s="58"/>
      <c r="BF60" s="58"/>
      <c r="BG60" s="53"/>
      <c r="BH60" s="53"/>
      <c r="BI60" s="54"/>
    </row>
    <row r="61" spans="1:61" ht="14.65" customHeight="1" x14ac:dyDescent="0.2">
      <c r="A61" s="28">
        <v>8</v>
      </c>
      <c r="B61" s="30" t="s">
        <v>26</v>
      </c>
      <c r="C61" s="281">
        <v>770</v>
      </c>
      <c r="D61" s="281">
        <v>0</v>
      </c>
      <c r="E61" s="281">
        <v>171</v>
      </c>
      <c r="F61" s="281">
        <v>0</v>
      </c>
      <c r="G61" s="281">
        <v>5</v>
      </c>
      <c r="H61" s="236">
        <f>SUM(C61:G61)</f>
        <v>946</v>
      </c>
      <c r="I61" s="378"/>
      <c r="J61" s="378"/>
      <c r="K61" s="378"/>
      <c r="L61" s="38" t="s">
        <v>27</v>
      </c>
      <c r="M61" s="81">
        <v>472</v>
      </c>
      <c r="N61" s="81"/>
      <c r="O61" s="81">
        <v>84</v>
      </c>
      <c r="P61" s="81"/>
      <c r="Q61" s="81">
        <v>4</v>
      </c>
      <c r="R61" s="69">
        <f t="shared" si="34"/>
        <v>560</v>
      </c>
      <c r="S61" s="373"/>
      <c r="T61" s="373"/>
      <c r="U61" s="373"/>
      <c r="V61" s="30" t="s">
        <v>31</v>
      </c>
      <c r="W61" s="219"/>
      <c r="X61" s="219"/>
      <c r="Y61" s="219"/>
      <c r="Z61" s="220"/>
      <c r="AA61" s="220"/>
      <c r="AB61" s="58"/>
      <c r="AC61" s="53"/>
      <c r="AD61" s="53"/>
      <c r="AE61" s="54"/>
      <c r="AF61" s="30" t="s">
        <v>30</v>
      </c>
      <c r="AG61" s="199"/>
      <c r="AH61" s="174"/>
      <c r="AI61" s="174"/>
      <c r="AJ61" s="199"/>
      <c r="AK61" s="199"/>
      <c r="AL61" s="71">
        <f t="shared" si="35"/>
        <v>0</v>
      </c>
      <c r="AM61" s="53"/>
      <c r="AN61" s="53"/>
      <c r="AO61" s="54"/>
      <c r="AP61" s="30" t="s">
        <v>24</v>
      </c>
      <c r="AQ61" s="176"/>
      <c r="AR61" s="176"/>
      <c r="AS61" s="176"/>
      <c r="AT61" s="176"/>
      <c r="AU61" s="176"/>
      <c r="AV61" s="170">
        <f t="shared" si="32"/>
        <v>0</v>
      </c>
      <c r="AW61" s="53"/>
      <c r="AX61" s="53"/>
      <c r="AY61" s="54"/>
      <c r="AZ61" s="30" t="s">
        <v>31</v>
      </c>
      <c r="BA61" s="58"/>
      <c r="BB61" s="58"/>
      <c r="BC61" s="58"/>
      <c r="BD61" s="58"/>
      <c r="BE61" s="58"/>
      <c r="BF61" s="58"/>
      <c r="BG61" s="53"/>
      <c r="BH61" s="53"/>
      <c r="BI61" s="54"/>
    </row>
    <row r="62" spans="1:61" ht="14.65" customHeight="1" x14ac:dyDescent="0.2">
      <c r="A62" s="28">
        <v>9</v>
      </c>
      <c r="B62" s="30" t="s">
        <v>30</v>
      </c>
      <c r="C62" s="257">
        <v>946</v>
      </c>
      <c r="D62" s="281">
        <v>0</v>
      </c>
      <c r="E62" s="257">
        <v>170</v>
      </c>
      <c r="F62" s="257">
        <v>0</v>
      </c>
      <c r="G62" s="257">
        <v>2</v>
      </c>
      <c r="H62" s="257">
        <f>SUM(C62:G62)</f>
        <v>1118</v>
      </c>
      <c r="I62" s="378"/>
      <c r="J62" s="378"/>
      <c r="K62" s="378"/>
      <c r="L62" s="38" t="s">
        <v>24</v>
      </c>
      <c r="M62" s="114">
        <f>234</f>
        <v>234</v>
      </c>
      <c r="N62" s="134"/>
      <c r="O62" s="114">
        <v>60</v>
      </c>
      <c r="P62" s="134"/>
      <c r="Q62" s="114">
        <v>4</v>
      </c>
      <c r="R62" s="137">
        <f t="shared" ref="R62" si="36">SUM((M62:Q62))</f>
        <v>298</v>
      </c>
      <c r="S62" s="373"/>
      <c r="T62" s="373"/>
      <c r="U62" s="373"/>
      <c r="V62" s="30" t="s">
        <v>26</v>
      </c>
      <c r="W62" s="170"/>
      <c r="X62" s="170"/>
      <c r="Y62" s="170"/>
      <c r="Z62" s="112"/>
      <c r="AA62" s="112"/>
      <c r="AB62" s="90">
        <f t="shared" ref="AB62:AB85" si="37">SUM(W62:AA62)</f>
        <v>0</v>
      </c>
      <c r="AC62" s="53"/>
      <c r="AD62" s="53"/>
      <c r="AE62" s="54"/>
      <c r="AF62" s="30" t="s">
        <v>32</v>
      </c>
      <c r="AG62" s="195"/>
      <c r="AH62" s="95"/>
      <c r="AI62" s="95"/>
      <c r="AJ62" s="195"/>
      <c r="AK62" s="195"/>
      <c r="AL62" s="71">
        <f t="shared" si="35"/>
        <v>0</v>
      </c>
      <c r="AM62" s="53"/>
      <c r="AN62" s="53"/>
      <c r="AO62" s="54"/>
      <c r="AP62" s="30" t="s">
        <v>28</v>
      </c>
      <c r="AQ62" s="58"/>
      <c r="AR62" s="58"/>
      <c r="AS62" s="58"/>
      <c r="AT62" s="58"/>
      <c r="AU62" s="58"/>
      <c r="AV62" s="58"/>
      <c r="AW62" s="53"/>
      <c r="AX62" s="53"/>
      <c r="AY62" s="54"/>
      <c r="AZ62" s="30" t="s">
        <v>26</v>
      </c>
      <c r="BA62" s="170"/>
      <c r="BB62" s="170"/>
      <c r="BC62" s="170"/>
      <c r="BD62" s="170"/>
      <c r="BE62" s="170"/>
      <c r="BF62" s="57">
        <f t="shared" ref="BF62:BF63" si="38">SUM(BA62:BE62)</f>
        <v>0</v>
      </c>
      <c r="BG62" s="53"/>
      <c r="BH62" s="53"/>
      <c r="BI62" s="54"/>
    </row>
    <row r="63" spans="1:61" ht="14.65" customHeight="1" x14ac:dyDescent="0.2">
      <c r="A63" s="28">
        <v>10</v>
      </c>
      <c r="B63" s="30" t="s">
        <v>32</v>
      </c>
      <c r="C63" s="205">
        <v>764</v>
      </c>
      <c r="D63" s="281">
        <v>0</v>
      </c>
      <c r="E63" s="205">
        <v>144</v>
      </c>
      <c r="F63" s="205">
        <v>0</v>
      </c>
      <c r="G63" s="205">
        <v>0</v>
      </c>
      <c r="H63" s="69">
        <f t="shared" ref="H63:H64" si="39">SUM(C63:G63)</f>
        <v>908</v>
      </c>
      <c r="I63" s="378"/>
      <c r="J63" s="378"/>
      <c r="K63" s="378"/>
      <c r="L63" s="38" t="s">
        <v>28</v>
      </c>
      <c r="M63" s="109"/>
      <c r="N63" s="58"/>
      <c r="O63" s="186"/>
      <c r="P63" s="58"/>
      <c r="Q63" s="186"/>
      <c r="R63" s="109"/>
      <c r="S63" s="373"/>
      <c r="T63" s="373"/>
      <c r="U63" s="373"/>
      <c r="V63" s="30" t="s">
        <v>30</v>
      </c>
      <c r="W63" s="176"/>
      <c r="X63" s="176"/>
      <c r="Y63" s="176"/>
      <c r="Z63" s="242"/>
      <c r="AA63" s="242"/>
      <c r="AB63" s="90">
        <f t="shared" si="37"/>
        <v>0</v>
      </c>
      <c r="AC63" s="53"/>
      <c r="AD63" s="53"/>
      <c r="AE63" s="54"/>
      <c r="AF63" s="30" t="s">
        <v>27</v>
      </c>
      <c r="AG63" s="199"/>
      <c r="AH63" s="174"/>
      <c r="AI63" s="174"/>
      <c r="AJ63" s="199"/>
      <c r="AK63" s="199"/>
      <c r="AL63" s="71">
        <f t="shared" si="35"/>
        <v>0</v>
      </c>
      <c r="AM63" s="53"/>
      <c r="AN63" s="53"/>
      <c r="AO63" s="54"/>
      <c r="AP63" s="30" t="s">
        <v>31</v>
      </c>
      <c r="AQ63" s="58"/>
      <c r="AR63" s="58"/>
      <c r="AS63" s="58"/>
      <c r="AT63" s="58"/>
      <c r="AU63" s="58"/>
      <c r="AV63" s="58"/>
      <c r="AW63" s="53"/>
      <c r="AX63" s="53"/>
      <c r="AY63" s="54"/>
      <c r="AZ63" s="30" t="s">
        <v>30</v>
      </c>
      <c r="BA63" s="170"/>
      <c r="BB63" s="170"/>
      <c r="BC63" s="170"/>
      <c r="BD63" s="170"/>
      <c r="BE63" s="170"/>
      <c r="BF63" s="57">
        <f t="shared" si="38"/>
        <v>0</v>
      </c>
      <c r="BG63" s="53"/>
      <c r="BH63" s="53"/>
      <c r="BI63" s="54"/>
    </row>
    <row r="64" spans="1:61" ht="14.65" customHeight="1" x14ac:dyDescent="0.2">
      <c r="A64" s="28">
        <v>11</v>
      </c>
      <c r="B64" s="30" t="s">
        <v>27</v>
      </c>
      <c r="C64" s="69">
        <v>742</v>
      </c>
      <c r="D64" s="281">
        <v>0</v>
      </c>
      <c r="E64" s="69">
        <v>181</v>
      </c>
      <c r="F64" s="69">
        <v>0</v>
      </c>
      <c r="G64" s="69">
        <v>2</v>
      </c>
      <c r="H64" s="69">
        <f t="shared" si="39"/>
        <v>925</v>
      </c>
      <c r="I64" s="378"/>
      <c r="J64" s="378"/>
      <c r="K64" s="378"/>
      <c r="L64" s="38" t="s">
        <v>31</v>
      </c>
      <c r="M64" s="109"/>
      <c r="N64" s="58"/>
      <c r="O64" s="186"/>
      <c r="P64" s="58"/>
      <c r="Q64" s="186"/>
      <c r="R64" s="109"/>
      <c r="S64" s="373"/>
      <c r="T64" s="373"/>
      <c r="U64" s="373"/>
      <c r="V64" s="30" t="s">
        <v>32</v>
      </c>
      <c r="W64" s="90"/>
      <c r="X64" s="90"/>
      <c r="Y64" s="90"/>
      <c r="Z64" s="185"/>
      <c r="AA64" s="185"/>
      <c r="AB64" s="90">
        <f t="shared" si="37"/>
        <v>0</v>
      </c>
      <c r="AC64" s="53"/>
      <c r="AD64" s="53"/>
      <c r="AE64" s="54"/>
      <c r="AF64" s="30" t="s">
        <v>24</v>
      </c>
      <c r="AG64" s="195"/>
      <c r="AH64" s="95"/>
      <c r="AI64" s="95"/>
      <c r="AJ64" s="195"/>
      <c r="AK64" s="195"/>
      <c r="AL64" s="71">
        <f t="shared" ref="AL64" si="40">SUM(AG64:AK64)</f>
        <v>0</v>
      </c>
      <c r="AM64" s="53"/>
      <c r="AN64" s="53"/>
      <c r="AO64" s="54"/>
      <c r="AP64" s="30" t="s">
        <v>26</v>
      </c>
      <c r="AQ64" s="379" t="s">
        <v>44</v>
      </c>
      <c r="AR64" s="379"/>
      <c r="AS64" s="379"/>
      <c r="AT64" s="379"/>
      <c r="AU64" s="379"/>
      <c r="AV64" s="379"/>
      <c r="AW64" s="89"/>
      <c r="AX64" s="89"/>
      <c r="AY64" s="89"/>
      <c r="AZ64" s="30" t="s">
        <v>32</v>
      </c>
      <c r="BA64" s="57"/>
      <c r="BB64" s="57"/>
      <c r="BC64" s="57"/>
      <c r="BD64" s="57"/>
      <c r="BE64" s="57"/>
      <c r="BF64" s="57">
        <f>SUM(BA64:BE64)</f>
        <v>0</v>
      </c>
      <c r="BG64" s="53"/>
      <c r="BH64" s="53"/>
      <c r="BI64" s="54"/>
    </row>
    <row r="65" spans="1:61" ht="14.65" customHeight="1" x14ac:dyDescent="0.2">
      <c r="A65" s="28">
        <v>12</v>
      </c>
      <c r="B65" s="30" t="s">
        <v>24</v>
      </c>
      <c r="C65" s="296">
        <v>396</v>
      </c>
      <c r="D65" s="281">
        <v>0</v>
      </c>
      <c r="E65" s="137">
        <v>115</v>
      </c>
      <c r="F65" s="137">
        <v>0</v>
      </c>
      <c r="G65" s="137">
        <v>1</v>
      </c>
      <c r="H65" s="137">
        <f t="shared" ref="H65" si="41">SUM((C65:G65))</f>
        <v>512</v>
      </c>
      <c r="I65" s="378"/>
      <c r="J65" s="378"/>
      <c r="K65" s="378"/>
      <c r="L65" s="38" t="s">
        <v>26</v>
      </c>
      <c r="M65" s="69">
        <v>594</v>
      </c>
      <c r="N65" s="57"/>
      <c r="O65" s="81">
        <v>73</v>
      </c>
      <c r="P65" s="57"/>
      <c r="Q65" s="81">
        <v>1</v>
      </c>
      <c r="R65" s="69">
        <f>SUM((M65:Q65))</f>
        <v>668</v>
      </c>
      <c r="S65" s="373"/>
      <c r="T65" s="373"/>
      <c r="U65" s="373"/>
      <c r="V65" s="30" t="s">
        <v>27</v>
      </c>
      <c r="W65" s="221"/>
      <c r="X65" s="221"/>
      <c r="Y65" s="221"/>
      <c r="Z65" s="222"/>
      <c r="AA65" s="222"/>
      <c r="AB65" s="90">
        <f t="shared" si="37"/>
        <v>0</v>
      </c>
      <c r="AC65" s="53"/>
      <c r="AD65" s="53"/>
      <c r="AE65" s="54"/>
      <c r="AF65" s="30" t="s">
        <v>28</v>
      </c>
      <c r="AG65" s="200"/>
      <c r="AH65" s="98"/>
      <c r="AI65" s="98"/>
      <c r="AJ65" s="200"/>
      <c r="AK65" s="200"/>
      <c r="AL65" s="88"/>
      <c r="AM65" s="53"/>
      <c r="AN65" s="53"/>
      <c r="AO65" s="54"/>
      <c r="AP65" s="30" t="s">
        <v>30</v>
      </c>
      <c r="AQ65" s="170"/>
      <c r="AR65" s="170"/>
      <c r="AS65" s="170"/>
      <c r="AT65" s="170"/>
      <c r="AU65" s="170"/>
      <c r="AV65" s="170">
        <f t="shared" ref="AV65:AV67" si="42">SUM(AQ65:AU65)</f>
        <v>0</v>
      </c>
      <c r="AW65" s="53"/>
      <c r="AX65" s="53"/>
      <c r="AY65" s="54"/>
      <c r="AZ65" s="30" t="s">
        <v>27</v>
      </c>
      <c r="BA65" s="170"/>
      <c r="BB65" s="170"/>
      <c r="BC65" s="170"/>
      <c r="BD65" s="170"/>
      <c r="BE65" s="170"/>
      <c r="BF65" s="57">
        <f>SUM(BA65:BE65)</f>
        <v>0</v>
      </c>
      <c r="BG65" s="53"/>
      <c r="BH65" s="53"/>
      <c r="BI65" s="54"/>
    </row>
    <row r="66" spans="1:61" ht="14.65" customHeight="1" x14ac:dyDescent="0.2">
      <c r="A66" s="28">
        <v>13</v>
      </c>
      <c r="B66" s="30" t="s">
        <v>28</v>
      </c>
      <c r="C66" s="295"/>
      <c r="D66" s="295"/>
      <c r="E66" s="297"/>
      <c r="F66" s="297"/>
      <c r="G66" s="297"/>
      <c r="H66" s="252"/>
      <c r="I66" s="378"/>
      <c r="J66" s="378"/>
      <c r="K66" s="378"/>
      <c r="L66" s="38" t="s">
        <v>30</v>
      </c>
      <c r="M66" s="137">
        <v>673</v>
      </c>
      <c r="N66" s="57"/>
      <c r="O66" s="81">
        <v>82</v>
      </c>
      <c r="P66" s="57"/>
      <c r="Q66" s="81"/>
      <c r="R66" s="69">
        <f>SUM((M66:Q66))</f>
        <v>755</v>
      </c>
      <c r="S66" s="373"/>
      <c r="T66" s="373"/>
      <c r="U66" s="373"/>
      <c r="V66" s="30" t="s">
        <v>24</v>
      </c>
      <c r="W66" s="223"/>
      <c r="X66" s="223"/>
      <c r="Y66" s="223"/>
      <c r="Z66" s="224"/>
      <c r="AA66" s="224"/>
      <c r="AB66" s="90">
        <f t="shared" si="37"/>
        <v>0</v>
      </c>
      <c r="AC66" s="53"/>
      <c r="AD66" s="53"/>
      <c r="AE66" s="54"/>
      <c r="AF66" s="30" t="s">
        <v>31</v>
      </c>
      <c r="AG66" s="200"/>
      <c r="AH66" s="98"/>
      <c r="AI66" s="98"/>
      <c r="AJ66" s="200"/>
      <c r="AK66" s="200"/>
      <c r="AL66" s="88"/>
      <c r="AM66" s="53"/>
      <c r="AN66" s="53"/>
      <c r="AO66" s="54"/>
      <c r="AP66" s="30" t="s">
        <v>32</v>
      </c>
      <c r="AQ66" s="57"/>
      <c r="AR66" s="57"/>
      <c r="AS66" s="57"/>
      <c r="AT66" s="57"/>
      <c r="AU66" s="57"/>
      <c r="AV66" s="170">
        <f t="shared" si="42"/>
        <v>0</v>
      </c>
      <c r="AW66" s="53"/>
      <c r="AX66" s="53"/>
      <c r="AY66" s="54"/>
      <c r="AZ66" s="30" t="s">
        <v>24</v>
      </c>
      <c r="BA66" s="170"/>
      <c r="BB66" s="170"/>
      <c r="BC66" s="170"/>
      <c r="BD66" s="170"/>
      <c r="BE66" s="170"/>
      <c r="BF66" s="57">
        <f t="shared" si="29"/>
        <v>0</v>
      </c>
      <c r="BG66" s="53"/>
      <c r="BH66" s="53"/>
      <c r="BI66" s="54"/>
    </row>
    <row r="67" spans="1:61" ht="14.65" customHeight="1" x14ac:dyDescent="0.2">
      <c r="A67" s="28">
        <v>14</v>
      </c>
      <c r="B67" s="30" t="s">
        <v>31</v>
      </c>
      <c r="C67" s="368" t="s">
        <v>48</v>
      </c>
      <c r="D67" s="369"/>
      <c r="E67" s="369"/>
      <c r="F67" s="369"/>
      <c r="G67" s="369"/>
      <c r="H67" s="370"/>
      <c r="I67" s="378"/>
      <c r="J67" s="378"/>
      <c r="K67" s="378"/>
      <c r="L67" s="38" t="s">
        <v>32</v>
      </c>
      <c r="M67" s="137">
        <v>462</v>
      </c>
      <c r="N67" s="57"/>
      <c r="O67" s="81">
        <v>59</v>
      </c>
      <c r="P67" s="57"/>
      <c r="Q67" s="81"/>
      <c r="R67" s="69">
        <f>SUM((M67:Q67))</f>
        <v>521</v>
      </c>
      <c r="S67" s="373"/>
      <c r="T67" s="373"/>
      <c r="U67" s="373"/>
      <c r="V67" s="30" t="s">
        <v>28</v>
      </c>
      <c r="W67" s="58"/>
      <c r="X67" s="58"/>
      <c r="Y67" s="58"/>
      <c r="Z67" s="186"/>
      <c r="AA67" s="186"/>
      <c r="AB67" s="58"/>
      <c r="AC67" s="53"/>
      <c r="AD67" s="53"/>
      <c r="AE67" s="54"/>
      <c r="AF67" s="30" t="s">
        <v>26</v>
      </c>
      <c r="AG67" s="199"/>
      <c r="AH67" s="174"/>
      <c r="AI67" s="174"/>
      <c r="AJ67" s="199"/>
      <c r="AK67" s="199"/>
      <c r="AL67" s="71">
        <f t="shared" ref="AL67:AL70" si="43">SUM(AG67:AK67)</f>
        <v>0</v>
      </c>
      <c r="AM67" s="53"/>
      <c r="AN67" s="53"/>
      <c r="AO67" s="54"/>
      <c r="AP67" s="30" t="s">
        <v>27</v>
      </c>
      <c r="AQ67" s="170"/>
      <c r="AR67" s="170"/>
      <c r="AS67" s="170"/>
      <c r="AT67" s="170"/>
      <c r="AU67" s="170"/>
      <c r="AV67" s="170">
        <f t="shared" si="42"/>
        <v>0</v>
      </c>
      <c r="AW67" s="53"/>
      <c r="AX67" s="53"/>
      <c r="AY67" s="54"/>
      <c r="AZ67" s="30" t="s">
        <v>28</v>
      </c>
      <c r="BA67" s="58"/>
      <c r="BB67" s="58"/>
      <c r="BC67" s="58"/>
      <c r="BD67" s="58"/>
      <c r="BE67" s="58"/>
      <c r="BF67" s="58"/>
      <c r="BG67" s="53"/>
      <c r="BH67" s="53"/>
      <c r="BI67" s="54"/>
    </row>
    <row r="68" spans="1:61" ht="14.65" customHeight="1" x14ac:dyDescent="0.2">
      <c r="A68" s="28">
        <v>15</v>
      </c>
      <c r="B68" s="30" t="s">
        <v>26</v>
      </c>
      <c r="C68" s="294">
        <v>861</v>
      </c>
      <c r="D68" s="137">
        <v>0</v>
      </c>
      <c r="E68" s="294">
        <v>152</v>
      </c>
      <c r="F68" s="137">
        <v>0</v>
      </c>
      <c r="G68" s="137">
        <v>13</v>
      </c>
      <c r="H68" s="137">
        <f>SUM(C68:G68)</f>
        <v>1026</v>
      </c>
      <c r="I68" s="378"/>
      <c r="J68" s="378"/>
      <c r="K68" s="378"/>
      <c r="L68" s="38" t="s">
        <v>27</v>
      </c>
      <c r="M68" s="301"/>
      <c r="N68" s="302"/>
      <c r="O68" s="302" t="s">
        <v>56</v>
      </c>
      <c r="P68" s="302"/>
      <c r="Q68" s="302"/>
      <c r="R68" s="303"/>
      <c r="S68" s="373"/>
      <c r="T68" s="373"/>
      <c r="U68" s="373"/>
      <c r="V68" s="30" t="s">
        <v>31</v>
      </c>
      <c r="W68" s="58"/>
      <c r="X68" s="58"/>
      <c r="Y68" s="58"/>
      <c r="Z68" s="186"/>
      <c r="AA68" s="186"/>
      <c r="AB68" s="58"/>
      <c r="AC68" s="53"/>
      <c r="AD68" s="53"/>
      <c r="AE68" s="54"/>
      <c r="AF68" s="30" t="s">
        <v>30</v>
      </c>
      <c r="AG68" s="199"/>
      <c r="AH68" s="174"/>
      <c r="AI68" s="174"/>
      <c r="AJ68" s="199"/>
      <c r="AK68" s="199"/>
      <c r="AL68" s="71">
        <f t="shared" si="43"/>
        <v>0</v>
      </c>
      <c r="AM68" s="53"/>
      <c r="AN68" s="53"/>
      <c r="AO68" s="54"/>
      <c r="AP68" s="30" t="s">
        <v>24</v>
      </c>
      <c r="AQ68" s="57"/>
      <c r="AR68" s="57"/>
      <c r="AS68" s="57"/>
      <c r="AT68" s="57"/>
      <c r="AU68" s="57"/>
      <c r="AV68" s="170">
        <f t="shared" ref="AV68" si="44">SUM(AQ68:AU68)</f>
        <v>0</v>
      </c>
      <c r="AW68" s="53"/>
      <c r="AX68" s="53"/>
      <c r="AY68" s="54"/>
      <c r="AZ68" s="30" t="s">
        <v>31</v>
      </c>
      <c r="BA68" s="58"/>
      <c r="BB68" s="58"/>
      <c r="BC68" s="58"/>
      <c r="BD68" s="58"/>
      <c r="BE68" s="58"/>
      <c r="BF68" s="58"/>
      <c r="BG68" s="53"/>
      <c r="BH68" s="53"/>
      <c r="BI68" s="54"/>
    </row>
    <row r="69" spans="1:61" ht="14.65" customHeight="1" x14ac:dyDescent="0.2">
      <c r="A69" s="28">
        <v>16</v>
      </c>
      <c r="B69" s="30" t="s">
        <v>30</v>
      </c>
      <c r="C69" s="298">
        <v>1072</v>
      </c>
      <c r="D69" s="137">
        <v>0</v>
      </c>
      <c r="E69" s="298">
        <v>182</v>
      </c>
      <c r="F69" s="205">
        <v>1</v>
      </c>
      <c r="G69" s="205">
        <f>2+10</f>
        <v>12</v>
      </c>
      <c r="H69" s="137">
        <f t="shared" ref="H69" si="45">SUM((C69:G69))</f>
        <v>1267</v>
      </c>
      <c r="I69" s="378"/>
      <c r="J69" s="378"/>
      <c r="K69" s="378"/>
      <c r="L69" s="300" t="s">
        <v>24</v>
      </c>
      <c r="M69" s="306"/>
      <c r="N69" s="307"/>
      <c r="O69" s="307" t="s">
        <v>58</v>
      </c>
      <c r="P69" s="308"/>
      <c r="Q69" s="309"/>
      <c r="R69" s="310"/>
      <c r="S69" s="374"/>
      <c r="T69" s="373"/>
      <c r="U69" s="373"/>
      <c r="V69" s="30" t="s">
        <v>26</v>
      </c>
      <c r="W69" s="245"/>
      <c r="X69" s="245"/>
      <c r="Y69" s="245"/>
      <c r="Z69" s="246"/>
      <c r="AA69" s="246"/>
      <c r="AB69" s="57">
        <f t="shared" si="37"/>
        <v>0</v>
      </c>
      <c r="AC69" s="53"/>
      <c r="AD69" s="53"/>
      <c r="AE69" s="54"/>
      <c r="AF69" s="30" t="s">
        <v>32</v>
      </c>
      <c r="AG69" s="195"/>
      <c r="AH69" s="95"/>
      <c r="AI69" s="95"/>
      <c r="AJ69" s="195"/>
      <c r="AK69" s="195"/>
      <c r="AL69" s="71">
        <f t="shared" si="43"/>
        <v>0</v>
      </c>
      <c r="AM69" s="53"/>
      <c r="AN69" s="53"/>
      <c r="AO69" s="54"/>
      <c r="AP69" s="30" t="s">
        <v>28</v>
      </c>
      <c r="AQ69" s="58"/>
      <c r="AR69" s="58"/>
      <c r="AS69" s="58"/>
      <c r="AT69" s="58"/>
      <c r="AU69" s="58"/>
      <c r="AV69" s="58"/>
      <c r="AW69" s="53"/>
      <c r="AX69" s="53"/>
      <c r="AY69" s="54"/>
      <c r="AZ69" s="30" t="s">
        <v>26</v>
      </c>
      <c r="BA69" s="170"/>
      <c r="BB69" s="170"/>
      <c r="BC69" s="170"/>
      <c r="BD69" s="170"/>
      <c r="BE69" s="170"/>
      <c r="BF69" s="57">
        <f>SUM(BA73:BE73)</f>
        <v>0</v>
      </c>
      <c r="BG69" s="53"/>
      <c r="BH69" s="53"/>
      <c r="BI69" s="54"/>
    </row>
    <row r="70" spans="1:61" ht="14.65" customHeight="1" x14ac:dyDescent="0.2">
      <c r="A70" s="28">
        <v>17</v>
      </c>
      <c r="B70" s="30" t="s">
        <v>32</v>
      </c>
      <c r="C70" s="294">
        <v>861</v>
      </c>
      <c r="D70" s="137">
        <v>0</v>
      </c>
      <c r="E70" s="294">
        <v>140</v>
      </c>
      <c r="F70" s="137">
        <v>1</v>
      </c>
      <c r="G70" s="137">
        <v>2</v>
      </c>
      <c r="H70" s="137">
        <f>SUM(C70:G70)</f>
        <v>1004</v>
      </c>
      <c r="I70" s="378"/>
      <c r="J70" s="378"/>
      <c r="K70" s="378"/>
      <c r="L70" s="38" t="s">
        <v>28</v>
      </c>
      <c r="M70" s="208"/>
      <c r="N70" s="304"/>
      <c r="O70" s="305"/>
      <c r="P70" s="304"/>
      <c r="Q70" s="305"/>
      <c r="R70" s="208"/>
      <c r="S70" s="373"/>
      <c r="T70" s="373"/>
      <c r="U70" s="373"/>
      <c r="V70" s="30" t="s">
        <v>30</v>
      </c>
      <c r="W70" s="57"/>
      <c r="X70" s="57"/>
      <c r="Y70" s="57"/>
      <c r="Z70" s="81"/>
      <c r="AA70" s="81"/>
      <c r="AB70" s="57">
        <f t="shared" si="37"/>
        <v>0</v>
      </c>
      <c r="AC70" s="53"/>
      <c r="AD70" s="53"/>
      <c r="AE70" s="54"/>
      <c r="AF70" s="30" t="s">
        <v>27</v>
      </c>
      <c r="AG70" s="199"/>
      <c r="AH70" s="174"/>
      <c r="AI70" s="174"/>
      <c r="AJ70" s="199"/>
      <c r="AK70" s="199"/>
      <c r="AL70" s="71">
        <f t="shared" si="43"/>
        <v>0</v>
      </c>
      <c r="AM70" s="371"/>
      <c r="AN70" s="371"/>
      <c r="AO70" s="371"/>
      <c r="AP70" s="30" t="s">
        <v>31</v>
      </c>
      <c r="AQ70" s="58"/>
      <c r="AR70" s="58"/>
      <c r="AS70" s="58"/>
      <c r="AT70" s="58"/>
      <c r="AU70" s="58"/>
      <c r="AV70" s="58"/>
      <c r="AW70" s="53"/>
      <c r="AX70" s="53"/>
      <c r="AY70" s="54"/>
      <c r="AZ70" s="30" t="s">
        <v>30</v>
      </c>
      <c r="BA70" s="170"/>
      <c r="BB70" s="170"/>
      <c r="BC70" s="170"/>
      <c r="BD70" s="170"/>
      <c r="BE70" s="170"/>
      <c r="BF70" s="57">
        <f>SUM(BA70:BE70)</f>
        <v>0</v>
      </c>
      <c r="BG70" s="53"/>
      <c r="BH70" s="53"/>
      <c r="BI70" s="54"/>
    </row>
    <row r="71" spans="1:61" ht="14.65" customHeight="1" x14ac:dyDescent="0.2">
      <c r="A71" s="28">
        <v>18</v>
      </c>
      <c r="B71" s="30" t="s">
        <v>27</v>
      </c>
      <c r="C71" s="298">
        <v>802</v>
      </c>
      <c r="D71" s="137">
        <v>0</v>
      </c>
      <c r="E71" s="298">
        <v>133</v>
      </c>
      <c r="F71" s="205">
        <v>2</v>
      </c>
      <c r="G71" s="205">
        <v>4</v>
      </c>
      <c r="H71" s="137">
        <f t="shared" ref="H71:H72" si="46">SUM((C71:G71))</f>
        <v>941</v>
      </c>
      <c r="I71" s="378"/>
      <c r="J71" s="378"/>
      <c r="K71" s="378"/>
      <c r="L71" s="38" t="s">
        <v>31</v>
      </c>
      <c r="M71" s="109"/>
      <c r="N71" s="58"/>
      <c r="O71" s="186"/>
      <c r="P71" s="58"/>
      <c r="Q71" s="186"/>
      <c r="R71" s="109"/>
      <c r="S71" s="373"/>
      <c r="T71" s="373"/>
      <c r="U71" s="373"/>
      <c r="V71" s="30" t="s">
        <v>32</v>
      </c>
      <c r="W71" s="57"/>
      <c r="X71" s="57"/>
      <c r="Y71" s="57"/>
      <c r="Z71" s="81"/>
      <c r="AA71" s="81"/>
      <c r="AB71" s="57">
        <f t="shared" si="37"/>
        <v>0</v>
      </c>
      <c r="AC71" s="53"/>
      <c r="AD71" s="53"/>
      <c r="AE71" s="54"/>
      <c r="AF71" s="30" t="s">
        <v>24</v>
      </c>
      <c r="AG71" s="195"/>
      <c r="AH71" s="95"/>
      <c r="AI71" s="95"/>
      <c r="AJ71" s="195"/>
      <c r="AK71" s="195"/>
      <c r="AL71" s="71">
        <f>SUM(AG71:AK71)</f>
        <v>0</v>
      </c>
      <c r="AM71" s="371"/>
      <c r="AN71" s="371"/>
      <c r="AO71" s="371"/>
      <c r="AP71" s="30" t="s">
        <v>26</v>
      </c>
      <c r="AQ71" s="170"/>
      <c r="AR71" s="170"/>
      <c r="AS71" s="170"/>
      <c r="AT71" s="170"/>
      <c r="AU71" s="170"/>
      <c r="AV71" s="170">
        <f t="shared" ref="AV71:AV74" si="47">SUM(AQ71:AU71)</f>
        <v>0</v>
      </c>
      <c r="AW71" s="53"/>
      <c r="AX71" s="53"/>
      <c r="AY71" s="54"/>
      <c r="AZ71" s="30" t="s">
        <v>32</v>
      </c>
      <c r="BA71" s="57"/>
      <c r="BB71" s="57"/>
      <c r="BC71" s="57"/>
      <c r="BD71" s="57"/>
      <c r="BE71" s="57"/>
      <c r="BF71" s="57">
        <f>SUM(BA71:BE71)</f>
        <v>0</v>
      </c>
      <c r="BG71" s="53"/>
      <c r="BH71" s="53"/>
      <c r="BI71" s="54"/>
    </row>
    <row r="72" spans="1:61" ht="14.65" customHeight="1" x14ac:dyDescent="0.2">
      <c r="A72" s="28">
        <v>19</v>
      </c>
      <c r="B72" s="30" t="s">
        <v>24</v>
      </c>
      <c r="C72" s="298">
        <v>356</v>
      </c>
      <c r="D72" s="137">
        <v>0</v>
      </c>
      <c r="E72" s="298">
        <v>113</v>
      </c>
      <c r="F72" s="205">
        <v>0</v>
      </c>
      <c r="G72" s="205">
        <v>2</v>
      </c>
      <c r="H72" s="137">
        <f t="shared" si="46"/>
        <v>471</v>
      </c>
      <c r="I72" s="378"/>
      <c r="J72" s="378"/>
      <c r="K72" s="378"/>
      <c r="L72" s="38" t="s">
        <v>26</v>
      </c>
      <c r="M72" s="237">
        <v>302</v>
      </c>
      <c r="N72" s="237">
        <v>504</v>
      </c>
      <c r="O72" s="237">
        <v>107</v>
      </c>
      <c r="P72" s="237">
        <f>4</f>
        <v>4</v>
      </c>
      <c r="Q72" s="237"/>
      <c r="R72" s="236">
        <f>SUM(M72:Q72)</f>
        <v>917</v>
      </c>
      <c r="S72" s="373"/>
      <c r="T72" s="373"/>
      <c r="U72" s="373"/>
      <c r="V72" s="30" t="s">
        <v>27</v>
      </c>
      <c r="W72" s="170"/>
      <c r="X72" s="170"/>
      <c r="Y72" s="170"/>
      <c r="Z72" s="112"/>
      <c r="AA72" s="112"/>
      <c r="AB72" s="57">
        <f t="shared" si="37"/>
        <v>0</v>
      </c>
      <c r="AC72" s="53"/>
      <c r="AD72" s="53"/>
      <c r="AE72" s="54"/>
      <c r="AF72" s="30" t="s">
        <v>28</v>
      </c>
      <c r="AG72" s="200"/>
      <c r="AH72" s="98"/>
      <c r="AI72" s="98"/>
      <c r="AJ72" s="200"/>
      <c r="AK72" s="200"/>
      <c r="AL72" s="88"/>
      <c r="AM72" s="371"/>
      <c r="AN72" s="371"/>
      <c r="AO72" s="371"/>
      <c r="AP72" s="30" t="s">
        <v>30</v>
      </c>
      <c r="AQ72" s="170"/>
      <c r="AR72" s="170"/>
      <c r="AS72" s="170"/>
      <c r="AT72" s="170"/>
      <c r="AU72" s="170"/>
      <c r="AV72" s="170">
        <f t="shared" si="47"/>
        <v>0</v>
      </c>
      <c r="AW72" s="53"/>
      <c r="AX72" s="53"/>
      <c r="AY72" s="54"/>
      <c r="AZ72" s="30" t="s">
        <v>27</v>
      </c>
      <c r="BA72" s="170"/>
      <c r="BB72" s="170"/>
      <c r="BC72" s="170"/>
      <c r="BD72" s="170"/>
      <c r="BE72" s="170"/>
      <c r="BF72" s="57">
        <f>SUM(BA72:BE72)</f>
        <v>0</v>
      </c>
      <c r="BG72" s="371"/>
      <c r="BH72" s="371"/>
      <c r="BI72" s="371"/>
    </row>
    <row r="73" spans="1:61" ht="14.65" customHeight="1" x14ac:dyDescent="0.2">
      <c r="A73" s="28">
        <v>20</v>
      </c>
      <c r="B73" s="30" t="s">
        <v>28</v>
      </c>
      <c r="C73" s="109"/>
      <c r="D73" s="58"/>
      <c r="E73" s="58"/>
      <c r="F73" s="58"/>
      <c r="G73" s="58"/>
      <c r="H73" s="109"/>
      <c r="I73" s="378"/>
      <c r="J73" s="378"/>
      <c r="K73" s="378"/>
      <c r="L73" s="38" t="s">
        <v>30</v>
      </c>
      <c r="M73" s="61">
        <v>394</v>
      </c>
      <c r="N73" s="61">
        <v>657</v>
      </c>
      <c r="O73" s="61">
        <v>111</v>
      </c>
      <c r="P73" s="61">
        <f>4</f>
        <v>4</v>
      </c>
      <c r="Q73" s="61"/>
      <c r="R73" s="257">
        <f>SUM(M73:Q73)</f>
        <v>1166</v>
      </c>
      <c r="S73" s="373"/>
      <c r="T73" s="373"/>
      <c r="U73" s="373"/>
      <c r="V73" s="30" t="s">
        <v>24</v>
      </c>
      <c r="W73" s="57"/>
      <c r="X73" s="57"/>
      <c r="Y73" s="57"/>
      <c r="Z73" s="81"/>
      <c r="AA73" s="81"/>
      <c r="AB73" s="57">
        <f t="shared" si="37"/>
        <v>0</v>
      </c>
      <c r="AC73" s="53"/>
      <c r="AD73" s="53"/>
      <c r="AE73" s="54"/>
      <c r="AF73" s="30" t="s">
        <v>31</v>
      </c>
      <c r="AG73" s="200"/>
      <c r="AH73" s="98"/>
      <c r="AI73" s="98"/>
      <c r="AJ73" s="200"/>
      <c r="AK73" s="200"/>
      <c r="AL73" s="88"/>
      <c r="AM73" s="371"/>
      <c r="AN73" s="371"/>
      <c r="AO73" s="371"/>
      <c r="AP73" s="30" t="s">
        <v>32</v>
      </c>
      <c r="AQ73" s="57"/>
      <c r="AR73" s="57"/>
      <c r="AS73" s="57"/>
      <c r="AT73" s="57"/>
      <c r="AU73" s="57"/>
      <c r="AV73" s="170">
        <f t="shared" si="47"/>
        <v>0</v>
      </c>
      <c r="AW73" s="53"/>
      <c r="AX73" s="53"/>
      <c r="AY73" s="54"/>
      <c r="AZ73" s="30" t="s">
        <v>24</v>
      </c>
      <c r="BA73" s="57"/>
      <c r="BB73" s="57"/>
      <c r="BC73" s="57"/>
      <c r="BD73" s="57"/>
      <c r="BE73" s="57"/>
      <c r="BF73" s="57">
        <f>SUM(BA73:BE73)</f>
        <v>0</v>
      </c>
      <c r="BG73" s="371"/>
      <c r="BH73" s="371"/>
      <c r="BI73" s="371"/>
    </row>
    <row r="74" spans="1:61" ht="14.65" customHeight="1" x14ac:dyDescent="0.2">
      <c r="A74" s="28">
        <v>21</v>
      </c>
      <c r="B74" s="30" t="s">
        <v>31</v>
      </c>
      <c r="C74" s="109"/>
      <c r="D74" s="58"/>
      <c r="E74" s="58"/>
      <c r="F74" s="58"/>
      <c r="G74" s="58"/>
      <c r="H74" s="109"/>
      <c r="I74" s="378"/>
      <c r="J74" s="378"/>
      <c r="K74" s="378"/>
      <c r="L74" s="38" t="s">
        <v>32</v>
      </c>
      <c r="M74" s="65">
        <v>284</v>
      </c>
      <c r="N74" s="65">
        <v>490</v>
      </c>
      <c r="O74" s="65">
        <v>96</v>
      </c>
      <c r="P74" s="65">
        <f>4</f>
        <v>4</v>
      </c>
      <c r="Q74" s="65"/>
      <c r="R74" s="69">
        <f t="shared" ref="R74:R75" si="48">SUM(M74:Q74)</f>
        <v>874</v>
      </c>
      <c r="S74" s="373"/>
      <c r="T74" s="373"/>
      <c r="U74" s="373"/>
      <c r="V74" s="30" t="s">
        <v>28</v>
      </c>
      <c r="W74" s="58"/>
      <c r="X74" s="58"/>
      <c r="Y74" s="58"/>
      <c r="Z74" s="186"/>
      <c r="AA74" s="186"/>
      <c r="AB74" s="58"/>
      <c r="AC74" s="53"/>
      <c r="AD74" s="53"/>
      <c r="AE74" s="54"/>
      <c r="AF74" s="30" t="s">
        <v>26</v>
      </c>
      <c r="AG74" s="195"/>
      <c r="AH74" s="95"/>
      <c r="AI74" s="95"/>
      <c r="AJ74" s="195"/>
      <c r="AK74" s="195"/>
      <c r="AL74" s="71">
        <f t="shared" ref="AL74:AL77" si="49">SUM(AG74:AK74)</f>
        <v>0</v>
      </c>
      <c r="AM74" s="371"/>
      <c r="AN74" s="371"/>
      <c r="AO74" s="371"/>
      <c r="AP74" s="30" t="s">
        <v>27</v>
      </c>
      <c r="AQ74" s="170"/>
      <c r="AR74" s="170"/>
      <c r="AS74" s="170"/>
      <c r="AT74" s="170"/>
      <c r="AU74" s="170"/>
      <c r="AV74" s="170">
        <f t="shared" si="47"/>
        <v>0</v>
      </c>
      <c r="AW74" s="53"/>
      <c r="AX74" s="53"/>
      <c r="AY74" s="54"/>
      <c r="AZ74" s="30" t="s">
        <v>28</v>
      </c>
      <c r="BA74" s="58"/>
      <c r="BB74" s="58"/>
      <c r="BC74" s="58"/>
      <c r="BD74" s="58"/>
      <c r="BE74" s="58"/>
      <c r="BF74" s="58"/>
      <c r="BG74" s="371"/>
      <c r="BH74" s="371"/>
      <c r="BI74" s="371"/>
    </row>
    <row r="75" spans="1:61" ht="14.65" customHeight="1" x14ac:dyDescent="0.2">
      <c r="A75" s="28">
        <v>22</v>
      </c>
      <c r="B75" s="30" t="s">
        <v>26</v>
      </c>
      <c r="C75" s="237">
        <v>736</v>
      </c>
      <c r="D75" s="137">
        <v>0</v>
      </c>
      <c r="E75" s="237">
        <v>137</v>
      </c>
      <c r="F75" s="237">
        <v>0</v>
      </c>
      <c r="G75" s="237">
        <v>5</v>
      </c>
      <c r="H75" s="236">
        <f>SUM(C75:G75)</f>
        <v>878</v>
      </c>
      <c r="I75" s="378"/>
      <c r="J75" s="378"/>
      <c r="K75" s="378"/>
      <c r="L75" s="38" t="s">
        <v>27</v>
      </c>
      <c r="M75" s="69">
        <v>328</v>
      </c>
      <c r="N75" s="69">
        <v>520</v>
      </c>
      <c r="O75" s="69">
        <v>98</v>
      </c>
      <c r="P75" s="69">
        <f>4</f>
        <v>4</v>
      </c>
      <c r="Q75" s="69"/>
      <c r="R75" s="69">
        <f t="shared" si="48"/>
        <v>950</v>
      </c>
      <c r="S75" s="373"/>
      <c r="T75" s="373"/>
      <c r="U75" s="373"/>
      <c r="V75" s="30" t="s">
        <v>31</v>
      </c>
      <c r="W75" s="58"/>
      <c r="X75" s="58"/>
      <c r="Y75" s="58"/>
      <c r="Z75" s="186"/>
      <c r="AA75" s="186"/>
      <c r="AB75" s="58"/>
      <c r="AC75" s="53"/>
      <c r="AD75" s="53"/>
      <c r="AE75" s="54"/>
      <c r="AF75" s="30" t="s">
        <v>30</v>
      </c>
      <c r="AG75" s="195"/>
      <c r="AH75" s="95"/>
      <c r="AI75" s="95"/>
      <c r="AJ75" s="195"/>
      <c r="AK75" s="195"/>
      <c r="AL75" s="71">
        <f t="shared" si="49"/>
        <v>0</v>
      </c>
      <c r="AM75" s="371"/>
      <c r="AN75" s="371"/>
      <c r="AO75" s="371"/>
      <c r="AP75" s="30" t="s">
        <v>24</v>
      </c>
      <c r="AQ75" s="57"/>
      <c r="AR75" s="57"/>
      <c r="AS75" s="57"/>
      <c r="AT75" s="57"/>
      <c r="AU75" s="57"/>
      <c r="AV75" s="170">
        <f t="shared" ref="AV75" si="50">SUM(AQ75:AU75)</f>
        <v>0</v>
      </c>
      <c r="AW75" s="53"/>
      <c r="AX75" s="53"/>
      <c r="AY75" s="54"/>
      <c r="AZ75" s="30" t="s">
        <v>31</v>
      </c>
      <c r="BA75" s="58"/>
      <c r="BB75" s="58"/>
      <c r="BC75" s="58"/>
      <c r="BD75" s="58"/>
      <c r="BE75" s="58"/>
      <c r="BF75" s="58"/>
      <c r="BG75" s="371"/>
      <c r="BH75" s="371"/>
      <c r="BI75" s="371"/>
    </row>
    <row r="76" spans="1:61" ht="14.65" customHeight="1" x14ac:dyDescent="0.2">
      <c r="A76" s="28">
        <v>23</v>
      </c>
      <c r="B76" s="30" t="s">
        <v>30</v>
      </c>
      <c r="C76" s="65">
        <v>905</v>
      </c>
      <c r="D76" s="137">
        <v>0</v>
      </c>
      <c r="E76" s="61">
        <v>139</v>
      </c>
      <c r="F76" s="65">
        <f>1</f>
        <v>1</v>
      </c>
      <c r="G76" s="61">
        <v>4</v>
      </c>
      <c r="H76" s="257">
        <f>SUM(C76:G76)</f>
        <v>1049</v>
      </c>
      <c r="I76" s="378"/>
      <c r="J76" s="378"/>
      <c r="K76" s="378"/>
      <c r="L76" s="38" t="s">
        <v>24</v>
      </c>
      <c r="M76" s="137">
        <v>0</v>
      </c>
      <c r="N76" s="137">
        <f>348</f>
        <v>348</v>
      </c>
      <c r="O76" s="137">
        <v>84</v>
      </c>
      <c r="P76" s="137">
        <f>2</f>
        <v>2</v>
      </c>
      <c r="Q76" s="137"/>
      <c r="R76" s="137">
        <f t="shared" ref="R76" si="51">SUM((M76:Q76))</f>
        <v>434</v>
      </c>
      <c r="S76" s="373"/>
      <c r="T76" s="373"/>
      <c r="U76" s="373"/>
      <c r="V76" s="30" t="s">
        <v>26</v>
      </c>
      <c r="W76" s="57"/>
      <c r="X76" s="57"/>
      <c r="Y76" s="57"/>
      <c r="Z76" s="81"/>
      <c r="AA76" s="81"/>
      <c r="AB76" s="57">
        <f t="shared" si="37"/>
        <v>0</v>
      </c>
      <c r="AC76" s="53"/>
      <c r="AD76" s="53"/>
      <c r="AE76" s="54"/>
      <c r="AF76" s="30" t="s">
        <v>32</v>
      </c>
      <c r="AG76" s="195"/>
      <c r="AH76" s="95"/>
      <c r="AI76" s="95"/>
      <c r="AJ76" s="195"/>
      <c r="AK76" s="195"/>
      <c r="AL76" s="71">
        <f t="shared" si="49"/>
        <v>0</v>
      </c>
      <c r="AM76" s="371"/>
      <c r="AN76" s="371"/>
      <c r="AO76" s="371"/>
      <c r="AP76" s="30" t="s">
        <v>28</v>
      </c>
      <c r="AQ76" s="58"/>
      <c r="AR76" s="58"/>
      <c r="AS76" s="58"/>
      <c r="AT76" s="58"/>
      <c r="AU76" s="58"/>
      <c r="AV76" s="58"/>
      <c r="AW76" s="53"/>
      <c r="AX76" s="53"/>
      <c r="AY76" s="54"/>
      <c r="AZ76" s="30" t="s">
        <v>26</v>
      </c>
      <c r="BA76" s="57"/>
      <c r="BB76" s="57"/>
      <c r="BC76" s="57"/>
      <c r="BD76" s="57"/>
      <c r="BE76" s="57"/>
      <c r="BF76" s="57">
        <f t="shared" ref="BF76:BF77" si="52">SUM(BA76:BE76)</f>
        <v>0</v>
      </c>
      <c r="BG76" s="371"/>
      <c r="BH76" s="371"/>
      <c r="BI76" s="371"/>
    </row>
    <row r="77" spans="1:61" ht="14.65" customHeight="1" x14ac:dyDescent="0.2">
      <c r="A77" s="28">
        <v>24</v>
      </c>
      <c r="B77" s="30" t="s">
        <v>32</v>
      </c>
      <c r="C77" s="81">
        <v>375</v>
      </c>
      <c r="D77" s="137">
        <v>0</v>
      </c>
      <c r="E77" s="65">
        <v>119</v>
      </c>
      <c r="F77" s="237">
        <v>0</v>
      </c>
      <c r="G77" s="65">
        <v>6</v>
      </c>
      <c r="H77" s="69">
        <f t="shared" ref="H77:H78" si="53">SUM(C77:G77)</f>
        <v>500</v>
      </c>
      <c r="I77" s="378"/>
      <c r="J77" s="378"/>
      <c r="K77" s="378"/>
      <c r="L77" s="38" t="s">
        <v>28</v>
      </c>
      <c r="M77" s="109"/>
      <c r="N77" s="58"/>
      <c r="O77" s="186"/>
      <c r="P77" s="58"/>
      <c r="Q77" s="186"/>
      <c r="R77" s="109"/>
      <c r="S77" s="373"/>
      <c r="T77" s="373"/>
      <c r="U77" s="373"/>
      <c r="V77" s="30" t="s">
        <v>30</v>
      </c>
      <c r="W77" s="57"/>
      <c r="X77" s="57"/>
      <c r="Y77" s="57"/>
      <c r="Z77" s="81"/>
      <c r="AA77" s="81"/>
      <c r="AB77" s="57">
        <f t="shared" si="37"/>
        <v>0</v>
      </c>
      <c r="AC77" s="53"/>
      <c r="AD77" s="53"/>
      <c r="AE77" s="54"/>
      <c r="AF77" s="30" t="s">
        <v>27</v>
      </c>
      <c r="AG77" s="199"/>
      <c r="AH77" s="174"/>
      <c r="AI77" s="174"/>
      <c r="AJ77" s="199"/>
      <c r="AK77" s="199"/>
      <c r="AL77" s="71">
        <f t="shared" si="49"/>
        <v>0</v>
      </c>
      <c r="AM77" s="371"/>
      <c r="AN77" s="371"/>
      <c r="AO77" s="371"/>
      <c r="AP77" s="30" t="s">
        <v>31</v>
      </c>
      <c r="AQ77" s="58"/>
      <c r="AR77" s="58"/>
      <c r="AS77" s="58"/>
      <c r="AT77" s="58"/>
      <c r="AU77" s="58"/>
      <c r="AV77" s="58"/>
      <c r="AW77" s="53"/>
      <c r="AX77" s="53"/>
      <c r="AY77" s="54"/>
      <c r="AZ77" s="30" t="s">
        <v>30</v>
      </c>
      <c r="BA77" s="57"/>
      <c r="BB77" s="57"/>
      <c r="BC77" s="57"/>
      <c r="BD77" s="57"/>
      <c r="BE77" s="57"/>
      <c r="BF77" s="57">
        <f t="shared" si="52"/>
        <v>0</v>
      </c>
      <c r="BG77" s="371"/>
      <c r="BH77" s="371"/>
      <c r="BI77" s="371"/>
    </row>
    <row r="78" spans="1:61" ht="14.65" customHeight="1" x14ac:dyDescent="0.2">
      <c r="A78" s="28">
        <v>25</v>
      </c>
      <c r="B78" s="30" t="s">
        <v>27</v>
      </c>
      <c r="C78" s="59">
        <v>613</v>
      </c>
      <c r="D78" s="137">
        <v>0</v>
      </c>
      <c r="E78" s="81">
        <v>108</v>
      </c>
      <c r="F78" s="81">
        <v>0</v>
      </c>
      <c r="G78" s="81">
        <v>1</v>
      </c>
      <c r="H78" s="69">
        <f t="shared" si="53"/>
        <v>722</v>
      </c>
      <c r="I78" s="378"/>
      <c r="J78" s="378"/>
      <c r="K78" s="378"/>
      <c r="L78" s="38" t="s">
        <v>31</v>
      </c>
      <c r="M78" s="109"/>
      <c r="N78" s="58"/>
      <c r="O78" s="186"/>
      <c r="P78" s="58"/>
      <c r="Q78" s="186"/>
      <c r="R78" s="109"/>
      <c r="S78" s="373"/>
      <c r="T78" s="373"/>
      <c r="U78" s="373"/>
      <c r="V78" s="30" t="s">
        <v>32</v>
      </c>
      <c r="W78" s="57"/>
      <c r="X78" s="57"/>
      <c r="Y78" s="57"/>
      <c r="Z78" s="81"/>
      <c r="AA78" s="81"/>
      <c r="AB78" s="57">
        <f t="shared" si="37"/>
        <v>0</v>
      </c>
      <c r="AC78" s="53"/>
      <c r="AD78" s="53"/>
      <c r="AE78" s="54"/>
      <c r="AF78" s="30" t="s">
        <v>24</v>
      </c>
      <c r="AG78" s="228"/>
      <c r="AH78" s="225" t="s">
        <v>58</v>
      </c>
      <c r="AI78" s="226"/>
      <c r="AJ78" s="226"/>
      <c r="AK78" s="226"/>
      <c r="AL78" s="226"/>
      <c r="AM78" s="371"/>
      <c r="AN78" s="371"/>
      <c r="AO78" s="371"/>
      <c r="AP78" s="30" t="s">
        <v>26</v>
      </c>
      <c r="AQ78" s="170"/>
      <c r="AR78" s="170"/>
      <c r="AS78" s="170"/>
      <c r="AT78" s="170"/>
      <c r="AU78" s="170"/>
      <c r="AV78" s="170">
        <f t="shared" ref="AV78:AV79" si="54">SUM(AQ78:AU78)</f>
        <v>0</v>
      </c>
      <c r="AW78" s="53"/>
      <c r="AX78" s="53"/>
      <c r="AY78" s="54"/>
      <c r="AZ78" s="30" t="s">
        <v>32</v>
      </c>
      <c r="BA78" s="372" t="s">
        <v>45</v>
      </c>
      <c r="BB78" s="372"/>
      <c r="BC78" s="372"/>
      <c r="BD78" s="372"/>
      <c r="BE78" s="372"/>
      <c r="BF78" s="372"/>
      <c r="BG78" s="371"/>
      <c r="BH78" s="371"/>
      <c r="BI78" s="371"/>
    </row>
    <row r="79" spans="1:61" ht="14.65" customHeight="1" x14ac:dyDescent="0.2">
      <c r="A79" s="28">
        <v>26</v>
      </c>
      <c r="B79" s="30" t="s">
        <v>24</v>
      </c>
      <c r="C79" s="206">
        <v>0</v>
      </c>
      <c r="D79" s="299">
        <v>0</v>
      </c>
      <c r="E79" s="137">
        <v>39</v>
      </c>
      <c r="F79" s="137"/>
      <c r="G79" s="137">
        <v>4</v>
      </c>
      <c r="H79" s="137">
        <f t="shared" ref="H79" si="55">SUM((C79:G79))</f>
        <v>43</v>
      </c>
      <c r="I79" s="378"/>
      <c r="J79" s="378"/>
      <c r="K79" s="378"/>
      <c r="L79" s="38" t="s">
        <v>26</v>
      </c>
      <c r="M79" s="237">
        <v>361</v>
      </c>
      <c r="N79" s="237">
        <f>652</f>
        <v>652</v>
      </c>
      <c r="O79" s="237">
        <v>120</v>
      </c>
      <c r="P79" s="237">
        <f>5</f>
        <v>5</v>
      </c>
      <c r="Q79" s="237">
        <v>2</v>
      </c>
      <c r="R79" s="236">
        <f>SUM(M79:Q79)</f>
        <v>1140</v>
      </c>
      <c r="S79" s="373"/>
      <c r="T79" s="373"/>
      <c r="U79" s="373"/>
      <c r="V79" s="30" t="s">
        <v>27</v>
      </c>
      <c r="W79" s="170"/>
      <c r="X79" s="170"/>
      <c r="Y79" s="170"/>
      <c r="Z79" s="112"/>
      <c r="AA79" s="112"/>
      <c r="AB79" s="57">
        <f t="shared" si="37"/>
        <v>0</v>
      </c>
      <c r="AC79" s="53"/>
      <c r="AD79" s="53"/>
      <c r="AE79" s="54"/>
      <c r="AF79" s="30" t="s">
        <v>28</v>
      </c>
      <c r="AG79" s="200"/>
      <c r="AH79" s="98"/>
      <c r="AI79" s="98"/>
      <c r="AJ79" s="200"/>
      <c r="AK79" s="200"/>
      <c r="AL79" s="88"/>
      <c r="AM79" s="371"/>
      <c r="AN79" s="371"/>
      <c r="AO79" s="371"/>
      <c r="AP79" s="30" t="s">
        <v>30</v>
      </c>
      <c r="AQ79" s="170"/>
      <c r="AR79" s="170"/>
      <c r="AS79" s="170"/>
      <c r="AT79" s="170"/>
      <c r="AU79" s="170"/>
      <c r="AV79" s="170">
        <f t="shared" si="54"/>
        <v>0</v>
      </c>
      <c r="AW79" s="53"/>
      <c r="AX79" s="53"/>
      <c r="AY79" s="54"/>
      <c r="AZ79" s="30" t="s">
        <v>27</v>
      </c>
      <c r="BA79" s="57"/>
      <c r="BB79" s="170"/>
      <c r="BC79" s="170"/>
      <c r="BD79" s="170"/>
      <c r="BE79" s="170"/>
      <c r="BF79" s="170">
        <f>SUM(BB79:BE79)</f>
        <v>0</v>
      </c>
      <c r="BG79" s="371"/>
      <c r="BH79" s="371"/>
      <c r="BI79" s="371"/>
    </row>
    <row r="80" spans="1:61" ht="14.65" customHeight="1" x14ac:dyDescent="0.2">
      <c r="A80" s="28">
        <v>27</v>
      </c>
      <c r="B80" s="30" t="s">
        <v>28</v>
      </c>
      <c r="C80" s="88"/>
      <c r="D80" s="88"/>
      <c r="E80" s="88"/>
      <c r="F80" s="88"/>
      <c r="G80" s="88"/>
      <c r="H80" s="252"/>
      <c r="I80" s="378"/>
      <c r="J80" s="378"/>
      <c r="K80" s="378"/>
      <c r="L80" s="38" t="s">
        <v>30</v>
      </c>
      <c r="M80" s="61">
        <v>429</v>
      </c>
      <c r="N80" s="61">
        <v>709</v>
      </c>
      <c r="O80" s="61">
        <v>124</v>
      </c>
      <c r="P80" s="61">
        <f>3</f>
        <v>3</v>
      </c>
      <c r="Q80" s="61">
        <v>2</v>
      </c>
      <c r="R80" s="257">
        <f>SUM(M80:Q80)</f>
        <v>1267</v>
      </c>
      <c r="S80" s="373"/>
      <c r="T80" s="373"/>
      <c r="U80" s="373"/>
      <c r="V80" s="30" t="s">
        <v>24</v>
      </c>
      <c r="W80" s="57"/>
      <c r="X80" s="57"/>
      <c r="Y80" s="57"/>
      <c r="Z80" s="81"/>
      <c r="AA80" s="81"/>
      <c r="AB80" s="57">
        <f t="shared" si="37"/>
        <v>0</v>
      </c>
      <c r="AC80" s="53"/>
      <c r="AD80" s="53"/>
      <c r="AE80" s="54"/>
      <c r="AF80" s="30" t="s">
        <v>31</v>
      </c>
      <c r="AG80" s="200"/>
      <c r="AH80" s="98"/>
      <c r="AI80" s="98"/>
      <c r="AJ80" s="200"/>
      <c r="AK80" s="200"/>
      <c r="AL80" s="88"/>
      <c r="AM80" s="371"/>
      <c r="AN80" s="371"/>
      <c r="AO80" s="371"/>
      <c r="AP80" s="30" t="s">
        <v>32</v>
      </c>
      <c r="AQ80" s="57"/>
      <c r="AR80" s="57"/>
      <c r="AS80" s="57"/>
      <c r="AT80" s="57"/>
      <c r="AU80" s="57"/>
      <c r="AV80" s="170">
        <f>SUM(AQ80:AU80)</f>
        <v>0</v>
      </c>
      <c r="AW80" s="53"/>
      <c r="AX80" s="53"/>
      <c r="AY80" s="54"/>
      <c r="AZ80" s="30" t="s">
        <v>24</v>
      </c>
      <c r="BA80" s="57"/>
      <c r="BB80" s="177"/>
      <c r="BC80" s="57"/>
      <c r="BD80" s="57"/>
      <c r="BE80" s="57"/>
      <c r="BF80" s="170">
        <f t="shared" ref="BF80:BF82" si="56">SUM(BB80:BE80)</f>
        <v>0</v>
      </c>
      <c r="BG80" s="371"/>
      <c r="BH80" s="371"/>
      <c r="BI80" s="371"/>
    </row>
    <row r="81" spans="1:61" ht="14.65" customHeight="1" x14ac:dyDescent="0.2">
      <c r="A81" s="28">
        <v>28</v>
      </c>
      <c r="B81" s="30" t="s">
        <v>31</v>
      </c>
      <c r="C81" s="88"/>
      <c r="D81" s="88"/>
      <c r="E81" s="88"/>
      <c r="F81" s="88"/>
      <c r="G81" s="88"/>
      <c r="H81" s="252"/>
      <c r="I81" s="378"/>
      <c r="J81" s="378"/>
      <c r="K81" s="378"/>
      <c r="L81" s="38" t="s">
        <v>32</v>
      </c>
      <c r="M81" s="65">
        <v>336</v>
      </c>
      <c r="N81" s="65">
        <v>538</v>
      </c>
      <c r="O81" s="65">
        <v>107</v>
      </c>
      <c r="P81" s="65">
        <f>4</f>
        <v>4</v>
      </c>
      <c r="Q81" s="65">
        <v>2</v>
      </c>
      <c r="R81" s="69">
        <f t="shared" ref="R81:R82" si="57">SUM(M81:Q81)</f>
        <v>987</v>
      </c>
      <c r="S81" s="373"/>
      <c r="T81" s="373"/>
      <c r="U81" s="373"/>
      <c r="V81" s="30" t="s">
        <v>28</v>
      </c>
      <c r="W81" s="58"/>
      <c r="X81" s="58"/>
      <c r="Y81" s="58"/>
      <c r="Z81" s="186"/>
      <c r="AA81" s="186"/>
      <c r="AB81" s="58"/>
      <c r="AC81" s="53"/>
      <c r="AD81" s="53"/>
      <c r="AE81" s="54"/>
      <c r="AF81" s="30" t="s">
        <v>26</v>
      </c>
      <c r="AG81" s="195"/>
      <c r="AH81" s="95"/>
      <c r="AI81" s="95"/>
      <c r="AJ81" s="195"/>
      <c r="AK81" s="195"/>
      <c r="AL81" s="195">
        <f t="shared" ref="AL81:AL82" si="58">SUM(AG81:AK81)</f>
        <v>0</v>
      </c>
      <c r="AM81" s="371"/>
      <c r="AN81" s="371"/>
      <c r="AO81" s="371"/>
      <c r="AP81" s="30" t="s">
        <v>27</v>
      </c>
      <c r="AQ81" s="170"/>
      <c r="AR81" s="170"/>
      <c r="AS81" s="170"/>
      <c r="AT81" s="170"/>
      <c r="AU81" s="170"/>
      <c r="AV81" s="170">
        <f>SUM(AQ81:AU81)</f>
        <v>0</v>
      </c>
      <c r="AW81" s="53"/>
      <c r="AX81" s="53"/>
      <c r="AY81" s="54"/>
      <c r="AZ81" s="30" t="s">
        <v>28</v>
      </c>
      <c r="BA81" s="57"/>
      <c r="BB81" s="177"/>
      <c r="BC81" s="57"/>
      <c r="BD81" s="57"/>
      <c r="BE81" s="57"/>
      <c r="BF81" s="170">
        <f t="shared" si="56"/>
        <v>0</v>
      </c>
      <c r="BG81" s="371"/>
      <c r="BH81" s="371"/>
      <c r="BI81" s="371"/>
    </row>
    <row r="82" spans="1:61" ht="14.65" customHeight="1" x14ac:dyDescent="0.2">
      <c r="A82" s="28">
        <v>29</v>
      </c>
      <c r="B82" s="30" t="s">
        <v>26</v>
      </c>
      <c r="C82" s="237">
        <v>439</v>
      </c>
      <c r="D82" s="137">
        <v>0</v>
      </c>
      <c r="E82" s="237">
        <v>88</v>
      </c>
      <c r="F82" s="237"/>
      <c r="G82" s="237"/>
      <c r="H82" s="236">
        <f>SUM(C82:G82)</f>
        <v>527</v>
      </c>
      <c r="I82" s="378"/>
      <c r="J82" s="378"/>
      <c r="K82" s="378"/>
      <c r="L82" s="38" t="s">
        <v>27</v>
      </c>
      <c r="M82" s="81">
        <v>361</v>
      </c>
      <c r="N82" s="81">
        <v>617</v>
      </c>
      <c r="O82" s="81">
        <v>112</v>
      </c>
      <c r="P82" s="81">
        <f>3</f>
        <v>3</v>
      </c>
      <c r="Q82" s="81"/>
      <c r="R82" s="69">
        <f t="shared" si="57"/>
        <v>1093</v>
      </c>
      <c r="S82" s="373"/>
      <c r="T82" s="373"/>
      <c r="U82" s="373"/>
      <c r="V82" s="30" t="s">
        <v>31</v>
      </c>
      <c r="W82" s="58"/>
      <c r="X82" s="58"/>
      <c r="Y82" s="58"/>
      <c r="Z82" s="186"/>
      <c r="AA82" s="186"/>
      <c r="AB82" s="58"/>
      <c r="AC82" s="53"/>
      <c r="AD82" s="53"/>
      <c r="AE82" s="54"/>
      <c r="AF82" s="30" t="s">
        <v>30</v>
      </c>
      <c r="AG82" s="195"/>
      <c r="AH82" s="95"/>
      <c r="AI82" s="95"/>
      <c r="AJ82" s="195"/>
      <c r="AK82" s="195"/>
      <c r="AL82" s="195">
        <f t="shared" si="58"/>
        <v>0</v>
      </c>
      <c r="AM82" s="371"/>
      <c r="AN82" s="371"/>
      <c r="AO82" s="371"/>
      <c r="AP82" s="30" t="s">
        <v>24</v>
      </c>
      <c r="AQ82" s="57"/>
      <c r="AR82" s="57"/>
      <c r="AS82" s="57"/>
      <c r="AT82" s="57"/>
      <c r="AU82" s="57"/>
      <c r="AV82" s="170">
        <f t="shared" ref="AV82" si="59">SUM(AQ82:AU82)</f>
        <v>0</v>
      </c>
      <c r="AW82" s="53"/>
      <c r="AX82" s="53"/>
      <c r="AY82" s="54"/>
      <c r="AZ82" s="30" t="s">
        <v>31</v>
      </c>
      <c r="BA82" s="57"/>
      <c r="BB82" s="178"/>
      <c r="BC82" s="57"/>
      <c r="BD82" s="57"/>
      <c r="BE82" s="57"/>
      <c r="BF82" s="170">
        <f t="shared" si="56"/>
        <v>0</v>
      </c>
      <c r="BG82" s="371"/>
      <c r="BH82" s="371"/>
      <c r="BI82" s="371"/>
    </row>
    <row r="83" spans="1:61" ht="14.65" customHeight="1" x14ac:dyDescent="0.2">
      <c r="A83" s="28">
        <v>30</v>
      </c>
      <c r="B83" s="30" t="s">
        <v>30</v>
      </c>
      <c r="C83" s="61">
        <v>488</v>
      </c>
      <c r="D83" s="137">
        <v>0</v>
      </c>
      <c r="E83" s="61">
        <v>94</v>
      </c>
      <c r="F83" s="61"/>
      <c r="G83" s="61"/>
      <c r="H83" s="257">
        <f>SUM(C83:G83)</f>
        <v>582</v>
      </c>
      <c r="I83" s="378"/>
      <c r="J83" s="378"/>
      <c r="K83" s="378"/>
      <c r="L83" s="38" t="s">
        <v>24</v>
      </c>
      <c r="M83" s="114">
        <v>419</v>
      </c>
      <c r="N83" s="134">
        <v>0</v>
      </c>
      <c r="O83" s="114">
        <v>93</v>
      </c>
      <c r="P83" s="134"/>
      <c r="Q83" s="114"/>
      <c r="R83" s="137">
        <f t="shared" ref="R83" si="60">SUM((M83:Q83))</f>
        <v>512</v>
      </c>
      <c r="S83" s="373"/>
      <c r="T83" s="373"/>
      <c r="U83" s="373"/>
      <c r="V83" s="30" t="s">
        <v>26</v>
      </c>
      <c r="W83" s="57"/>
      <c r="X83" s="57"/>
      <c r="Y83" s="57"/>
      <c r="Z83" s="81"/>
      <c r="AA83" s="81"/>
      <c r="AB83" s="57"/>
      <c r="AC83" s="53"/>
      <c r="AD83" s="53"/>
      <c r="AE83" s="54"/>
      <c r="AF83" s="30" t="s">
        <v>32</v>
      </c>
      <c r="AG83" s="195"/>
      <c r="AH83" s="95"/>
      <c r="AI83" s="95"/>
      <c r="AJ83" s="195"/>
      <c r="AK83" s="195"/>
      <c r="AL83" s="195">
        <f>SUM(AG83:AK83)</f>
        <v>0</v>
      </c>
      <c r="AM83" s="371"/>
      <c r="AN83" s="371"/>
      <c r="AO83" s="371"/>
      <c r="AP83" s="30" t="s">
        <v>28</v>
      </c>
      <c r="AQ83" s="58"/>
      <c r="AR83" s="58"/>
      <c r="AS83" s="58"/>
      <c r="AT83" s="58"/>
      <c r="AU83" s="58"/>
      <c r="AV83" s="58"/>
      <c r="AW83" s="53"/>
      <c r="AX83" s="53"/>
      <c r="AY83" s="54"/>
      <c r="AZ83" s="30" t="s">
        <v>26</v>
      </c>
      <c r="BA83" s="58"/>
      <c r="BB83" s="58"/>
      <c r="BC83" s="58"/>
      <c r="BD83" s="58"/>
      <c r="BE83" s="58"/>
      <c r="BF83" s="58"/>
      <c r="BG83" s="371"/>
      <c r="BH83" s="371"/>
      <c r="BI83" s="371"/>
    </row>
    <row r="84" spans="1:61" ht="13.5" customHeight="1" x14ac:dyDescent="0.2">
      <c r="A84" s="39">
        <v>31</v>
      </c>
      <c r="B84" s="30" t="s">
        <v>32</v>
      </c>
      <c r="C84" s="114">
        <v>399</v>
      </c>
      <c r="D84" s="137">
        <v>0</v>
      </c>
      <c r="E84" s="114">
        <v>94</v>
      </c>
      <c r="F84" s="114"/>
      <c r="G84" s="114"/>
      <c r="H84" s="137">
        <f>SUM(C84:G84)</f>
        <v>493</v>
      </c>
      <c r="I84" s="378"/>
      <c r="J84" s="378"/>
      <c r="K84" s="378"/>
      <c r="L84" s="38" t="s">
        <v>28</v>
      </c>
      <c r="M84" s="109"/>
      <c r="N84" s="58"/>
      <c r="O84" s="186"/>
      <c r="P84" s="58"/>
      <c r="Q84" s="58"/>
      <c r="R84" s="109"/>
      <c r="S84" s="64"/>
      <c r="T84" s="64"/>
      <c r="U84" s="64"/>
      <c r="V84" s="30"/>
      <c r="W84" s="57"/>
      <c r="X84" s="57"/>
      <c r="Y84" s="57"/>
      <c r="Z84" s="81"/>
      <c r="AA84" s="81"/>
      <c r="AB84" s="57"/>
      <c r="AC84" s="66"/>
      <c r="AD84" s="66"/>
      <c r="AE84" s="67"/>
      <c r="AF84" s="30" t="s">
        <v>27</v>
      </c>
      <c r="AG84" s="195"/>
      <c r="AH84" s="95"/>
      <c r="AI84" s="95"/>
      <c r="AJ84" s="195"/>
      <c r="AK84" s="195"/>
      <c r="AL84" s="134">
        <f>SUM(AG84:AK84)</f>
        <v>0</v>
      </c>
      <c r="AM84" s="371"/>
      <c r="AN84" s="371"/>
      <c r="AO84" s="371"/>
      <c r="AP84" s="47"/>
      <c r="AQ84" s="57"/>
      <c r="AR84" s="57"/>
      <c r="AS84" s="57"/>
      <c r="AT84" s="57"/>
      <c r="AU84" s="57"/>
      <c r="AV84" s="170"/>
      <c r="AW84" s="66"/>
      <c r="AX84" s="66"/>
      <c r="AY84" s="67"/>
      <c r="AZ84" s="30" t="s">
        <v>30</v>
      </c>
      <c r="BA84" s="58"/>
      <c r="BB84" s="58"/>
      <c r="BC84" s="58"/>
      <c r="BD84" s="58"/>
      <c r="BE84" s="58"/>
      <c r="BF84" s="58"/>
      <c r="BG84" s="371"/>
      <c r="BH84" s="371"/>
      <c r="BI84" s="371"/>
    </row>
    <row r="85" spans="1:61" ht="14.25" customHeight="1" x14ac:dyDescent="0.2">
      <c r="A85" s="361" t="s">
        <v>34</v>
      </c>
      <c r="B85" s="361"/>
      <c r="C85" s="136">
        <f>SUM(C54:C84)</f>
        <v>14606</v>
      </c>
      <c r="D85" s="136">
        <f>SUM(D54:D84)</f>
        <v>0</v>
      </c>
      <c r="E85" s="136">
        <f>SUM(E54:E84)</f>
        <v>3088</v>
      </c>
      <c r="F85" s="136">
        <f>SUM(F54:F84)/2</f>
        <v>4.5</v>
      </c>
      <c r="G85" s="136">
        <f>SUM(G54:G84)</f>
        <v>89</v>
      </c>
      <c r="H85" s="137">
        <f>SUM((C85:G85))</f>
        <v>17787.5</v>
      </c>
      <c r="I85" s="137"/>
      <c r="J85" s="137"/>
      <c r="K85" s="137"/>
      <c r="L85" s="152" t="s">
        <v>34</v>
      </c>
      <c r="M85" s="68">
        <f>SUM(M54:M84)</f>
        <v>7683</v>
      </c>
      <c r="N85" s="68">
        <f>SUM(N54:N84)</f>
        <v>5035</v>
      </c>
      <c r="O85" s="68">
        <f>SUM(O54:O84)</f>
        <v>1808</v>
      </c>
      <c r="P85" s="68">
        <f>SUM(P54:P84)/2</f>
        <v>17</v>
      </c>
      <c r="Q85" s="68">
        <f>SUM(Q54:Q84)</f>
        <v>29</v>
      </c>
      <c r="R85" s="69">
        <f>SUM(M85:Q85)</f>
        <v>14572</v>
      </c>
      <c r="S85" s="69"/>
      <c r="T85" s="69"/>
      <c r="U85" s="69"/>
      <c r="V85" s="152" t="s">
        <v>34</v>
      </c>
      <c r="W85" s="68">
        <f>SUM(W54:W84)</f>
        <v>0</v>
      </c>
      <c r="X85" s="68">
        <f>SUM(X54:X84)</f>
        <v>0</v>
      </c>
      <c r="Y85" s="68">
        <f>SUM(Y54:Y84)</f>
        <v>0</v>
      </c>
      <c r="Z85" s="68">
        <f>SUM(Z54:Z84)</f>
        <v>0</v>
      </c>
      <c r="AA85" s="68">
        <f>SUM(AA54:AA84)</f>
        <v>0</v>
      </c>
      <c r="AB85" s="57">
        <f t="shared" si="37"/>
        <v>0</v>
      </c>
      <c r="AC85" s="69"/>
      <c r="AD85" s="69"/>
      <c r="AE85" s="69"/>
      <c r="AF85" s="30" t="s">
        <v>24</v>
      </c>
      <c r="AG85" s="95"/>
      <c r="AH85" s="95"/>
      <c r="AI85" s="95"/>
      <c r="AJ85" s="195"/>
      <c r="AK85" s="195"/>
      <c r="AL85" s="229">
        <f>AG85+AH85+AI85+AJ85+AK85</f>
        <v>0</v>
      </c>
      <c r="AM85" s="137"/>
      <c r="AN85" s="137"/>
      <c r="AO85" s="137"/>
      <c r="AP85" s="152" t="s">
        <v>34</v>
      </c>
      <c r="AQ85" s="230"/>
      <c r="AR85" s="68"/>
      <c r="AS85" s="68"/>
      <c r="AT85" s="68"/>
      <c r="AU85" s="68"/>
      <c r="AV85" s="170">
        <f>SUM(AQ85:AU85)</f>
        <v>0</v>
      </c>
      <c r="AW85" s="69"/>
      <c r="AX85" s="69"/>
      <c r="AY85" s="69"/>
      <c r="AZ85" s="30" t="s">
        <v>32</v>
      </c>
      <c r="BA85" s="231">
        <f>SUM(BA54:BA84)</f>
        <v>0</v>
      </c>
      <c r="BB85" s="68">
        <f>SUM(BB54:BB84)</f>
        <v>0</v>
      </c>
      <c r="BC85" s="68">
        <f>SUM(BC54:BC84)</f>
        <v>0</v>
      </c>
      <c r="BD85" s="68">
        <f>SUM(BD54:BD84)</f>
        <v>0</v>
      </c>
      <c r="BE85" s="232">
        <f>SUM(BE54:BE84)</f>
        <v>0</v>
      </c>
      <c r="BF85" s="69">
        <f>BA85+BB85+BC85+BD85+BE85</f>
        <v>0</v>
      </c>
      <c r="BG85" s="69"/>
      <c r="BH85" s="69"/>
      <c r="BI85" s="69"/>
    </row>
    <row r="86" spans="1:61" ht="12.75" customHeight="1" x14ac:dyDescent="0.15">
      <c r="A86" s="361" t="s">
        <v>1</v>
      </c>
      <c r="B86" s="361"/>
      <c r="C86" s="362">
        <v>23</v>
      </c>
      <c r="D86" s="362"/>
      <c r="E86" s="362"/>
      <c r="F86" s="362"/>
      <c r="G86" s="362"/>
      <c r="H86" s="362"/>
      <c r="I86" s="362"/>
      <c r="J86" s="362"/>
      <c r="K86" s="362"/>
      <c r="L86" s="38"/>
      <c r="M86" s="363">
        <v>20</v>
      </c>
      <c r="N86" s="363"/>
      <c r="O86" s="363"/>
      <c r="P86" s="363"/>
      <c r="Q86" s="363"/>
      <c r="R86" s="363"/>
      <c r="S86" s="363"/>
      <c r="T86" s="363"/>
      <c r="U86" s="363"/>
      <c r="V86" s="41" t="s">
        <v>1</v>
      </c>
      <c r="W86" s="363">
        <v>21</v>
      </c>
      <c r="X86" s="363"/>
      <c r="Y86" s="363"/>
      <c r="Z86" s="363"/>
      <c r="AA86" s="363"/>
      <c r="AB86" s="363"/>
      <c r="AC86" s="363"/>
      <c r="AD86" s="363"/>
      <c r="AE86" s="363"/>
      <c r="AF86" s="30" t="s">
        <v>28</v>
      </c>
      <c r="AG86" s="362">
        <v>23</v>
      </c>
      <c r="AH86" s="362"/>
      <c r="AI86" s="362"/>
      <c r="AJ86" s="362"/>
      <c r="AK86" s="362"/>
      <c r="AL86" s="362"/>
      <c r="AM86" s="362"/>
      <c r="AN86" s="362"/>
      <c r="AO86" s="362"/>
      <c r="AP86" s="41" t="s">
        <v>1</v>
      </c>
      <c r="AQ86" s="363">
        <v>19</v>
      </c>
      <c r="AR86" s="363"/>
      <c r="AS86" s="363"/>
      <c r="AT86" s="363"/>
      <c r="AU86" s="363"/>
      <c r="AV86" s="363"/>
      <c r="AW86" s="363"/>
      <c r="AX86" s="363"/>
      <c r="AY86" s="363"/>
      <c r="AZ86" s="30" t="s">
        <v>27</v>
      </c>
      <c r="BA86" s="363">
        <v>21</v>
      </c>
      <c r="BB86" s="363"/>
      <c r="BC86" s="363"/>
      <c r="BD86" s="363"/>
      <c r="BE86" s="363"/>
      <c r="BF86" s="363"/>
      <c r="BG86" s="363"/>
      <c r="BH86" s="363"/>
      <c r="BI86" s="363"/>
    </row>
    <row r="87" spans="1:61" ht="12.75" customHeight="1" x14ac:dyDescent="0.15">
      <c r="A87" s="361" t="s">
        <v>3</v>
      </c>
      <c r="B87" s="361"/>
      <c r="C87" s="198">
        <f>C85/C86</f>
        <v>635.04347826086962</v>
      </c>
      <c r="D87" s="198">
        <f>D85/C86</f>
        <v>0</v>
      </c>
      <c r="E87" s="198">
        <f>E85/23</f>
        <v>134.2608695652174</v>
      </c>
      <c r="F87" s="198">
        <f>F85</f>
        <v>4.5</v>
      </c>
      <c r="G87" s="198">
        <f>G85/23</f>
        <v>3.8695652173913042</v>
      </c>
      <c r="H87" s="367">
        <f>SUM(C87:G87)</f>
        <v>777.67391304347825</v>
      </c>
      <c r="I87" s="367"/>
      <c r="J87" s="367"/>
      <c r="K87" s="367"/>
      <c r="L87" s="41"/>
      <c r="M87" s="68">
        <f>M85/M86</f>
        <v>384.15</v>
      </c>
      <c r="N87" s="68">
        <f>N85/M86</f>
        <v>251.75</v>
      </c>
      <c r="O87" s="68">
        <f>O85/M86</f>
        <v>90.4</v>
      </c>
      <c r="P87" s="68">
        <f>P85/M86</f>
        <v>0.85</v>
      </c>
      <c r="Q87" s="68">
        <f>Q85/M86</f>
        <v>1.45</v>
      </c>
      <c r="R87" s="363">
        <f>R85/M86</f>
        <v>728.6</v>
      </c>
      <c r="S87" s="363"/>
      <c r="T87" s="363"/>
      <c r="U87" s="363"/>
      <c r="V87" s="41"/>
      <c r="W87" s="75">
        <f>W85/W86</f>
        <v>0</v>
      </c>
      <c r="X87" s="68">
        <f>X85/W86</f>
        <v>0</v>
      </c>
      <c r="Y87" s="68">
        <f>Y85/22</f>
        <v>0</v>
      </c>
      <c r="Z87" s="68">
        <f t="shared" ref="Z87:AA87" si="61">Z85/22</f>
        <v>0</v>
      </c>
      <c r="AA87" s="68">
        <f t="shared" si="61"/>
        <v>0</v>
      </c>
      <c r="AB87" s="363">
        <f>AB85/W86</f>
        <v>0</v>
      </c>
      <c r="AC87" s="363"/>
      <c r="AD87" s="363"/>
      <c r="AE87" s="363"/>
      <c r="AF87" s="41"/>
      <c r="AG87" s="198">
        <f>AG85/AG86</f>
        <v>0</v>
      </c>
      <c r="AH87" s="198">
        <f>AH85/AG86</f>
        <v>0</v>
      </c>
      <c r="AI87" s="198">
        <f>AI85/21</f>
        <v>0</v>
      </c>
      <c r="AJ87" s="198">
        <f t="shared" ref="AJ87:AK87" si="62">AJ85/21</f>
        <v>0</v>
      </c>
      <c r="AK87" s="198">
        <f t="shared" si="62"/>
        <v>0</v>
      </c>
      <c r="AL87" s="367">
        <f>AL85/AG86</f>
        <v>0</v>
      </c>
      <c r="AM87" s="367"/>
      <c r="AN87" s="367"/>
      <c r="AO87" s="367"/>
      <c r="AP87" s="41"/>
      <c r="AQ87" s="68">
        <f>AQ85/$AQ$86</f>
        <v>0</v>
      </c>
      <c r="AR87" s="68">
        <f t="shared" ref="AR87:AU87" si="63">AR85/$AQ$86</f>
        <v>0</v>
      </c>
      <c r="AS87" s="68">
        <f t="shared" si="63"/>
        <v>0</v>
      </c>
      <c r="AT87" s="68">
        <f t="shared" si="63"/>
        <v>0</v>
      </c>
      <c r="AU87" s="68">
        <f t="shared" si="63"/>
        <v>0</v>
      </c>
      <c r="AV87" s="363">
        <f>SUM(AQ87:AU87)</f>
        <v>0</v>
      </c>
      <c r="AW87" s="363"/>
      <c r="AX87" s="363"/>
      <c r="AY87" s="363"/>
      <c r="AZ87" s="41"/>
      <c r="BA87" s="69">
        <f>BA85/$BA$86</f>
        <v>0</v>
      </c>
      <c r="BB87" s="69">
        <f t="shared" ref="BB87:BE87" si="64">BB85/$BA$86</f>
        <v>0</v>
      </c>
      <c r="BC87" s="69">
        <f t="shared" si="64"/>
        <v>0</v>
      </c>
      <c r="BD87" s="69">
        <f t="shared" si="64"/>
        <v>0</v>
      </c>
      <c r="BE87" s="69">
        <f t="shared" si="64"/>
        <v>0</v>
      </c>
      <c r="BF87" s="363">
        <f>SUM(BA87:BE87)</f>
        <v>0</v>
      </c>
      <c r="BG87" s="363"/>
      <c r="BH87" s="363"/>
      <c r="BI87" s="363"/>
    </row>
    <row r="88" spans="1:61" ht="12.75" customHeight="1" x14ac:dyDescent="0.15">
      <c r="A88" s="365" t="s">
        <v>35</v>
      </c>
      <c r="B88" s="365"/>
      <c r="C88" s="136">
        <f>COUNTIF(C54:C84,"&gt;1350")</f>
        <v>0</v>
      </c>
      <c r="D88" s="136">
        <f>COUNTIF(D54:D84,"&gt;1450")</f>
        <v>0</v>
      </c>
      <c r="E88" s="136">
        <f>COUNTIF(E54:E84,"&gt;1450")</f>
        <v>0</v>
      </c>
      <c r="F88" s="136">
        <f>COUNTIF(F54:F84,"&gt;1450")</f>
        <v>0</v>
      </c>
      <c r="G88" s="136">
        <f>COUNTIF(G54:G84,"&gt;1450")</f>
        <v>0</v>
      </c>
      <c r="H88" s="366"/>
      <c r="I88" s="366"/>
      <c r="J88" s="366"/>
      <c r="K88" s="366"/>
      <c r="L88" s="41"/>
      <c r="M88" s="68">
        <f>COUNTIF(M54:M84,"&gt;1350")</f>
        <v>0</v>
      </c>
      <c r="N88" s="68">
        <f>COUNTIF(N54:N84,"&gt;1350")</f>
        <v>0</v>
      </c>
      <c r="O88" s="68">
        <f>COUNTIF(O54:O84,"&gt;1350")</f>
        <v>0</v>
      </c>
      <c r="P88" s="68">
        <f>COUNTIF(P54:P84,"&gt;1350")</f>
        <v>0</v>
      </c>
      <c r="Q88" s="68">
        <f>COUNTIF(Q54:Q84,"&gt;1350")</f>
        <v>0</v>
      </c>
      <c r="R88" s="366"/>
      <c r="S88" s="366"/>
      <c r="T88" s="366"/>
      <c r="U88" s="366"/>
      <c r="V88" s="41"/>
      <c r="W88" s="75">
        <f>COUNTIF(W54:W84,"&gt;1350")</f>
        <v>0</v>
      </c>
      <c r="X88" s="68">
        <f>COUNTIF(X54:X84,"&gt;1450")</f>
        <v>0</v>
      </c>
      <c r="Y88" s="68">
        <f>COUNTIF(Y54:Y84,"&gt;1450")</f>
        <v>0</v>
      </c>
      <c r="Z88" s="68">
        <f>COUNTIF(Z54:Z84,"&gt;1450")</f>
        <v>0</v>
      </c>
      <c r="AA88" s="68">
        <f>COUNTIF(AA54:AA84,"&gt;1450")</f>
        <v>0</v>
      </c>
      <c r="AB88" s="366"/>
      <c r="AC88" s="366"/>
      <c r="AD88" s="366"/>
      <c r="AE88" s="366"/>
      <c r="AF88" s="41"/>
      <c r="AG88" s="198">
        <f>COUNTIF(AG54:AG84,"&gt;1350")</f>
        <v>0</v>
      </c>
      <c r="AH88" s="136">
        <f>COUNTIF(AH54:AH84,"&gt;1450")</f>
        <v>0</v>
      </c>
      <c r="AI88" s="136">
        <f>COUNTIF(AI54:AI84,"&gt;1450")</f>
        <v>0</v>
      </c>
      <c r="AJ88" s="198">
        <f>COUNTIF(AJ54:AJ84,"&gt;1450")</f>
        <v>0</v>
      </c>
      <c r="AK88" s="198">
        <f>COUNTIF(AK54:AK84,"&gt;1450")</f>
        <v>0</v>
      </c>
      <c r="AL88" s="366"/>
      <c r="AM88" s="366"/>
      <c r="AN88" s="366"/>
      <c r="AO88" s="366"/>
      <c r="AP88" s="41"/>
      <c r="AQ88" s="68">
        <f>COUNTIF(AQ54:AQ84,"&gt;1350")</f>
        <v>0</v>
      </c>
      <c r="AR88" s="68">
        <f>COUNTIF(AR54:AR84,"&gt;1450")</f>
        <v>0</v>
      </c>
      <c r="AS88" s="68">
        <f>COUNTIF(AS54:AS84,"&gt;1450")</f>
        <v>0</v>
      </c>
      <c r="AT88" s="68">
        <f>COUNTIF(AT54:AT84,"&gt;1450")</f>
        <v>0</v>
      </c>
      <c r="AU88" s="68">
        <f>COUNTIF(AU54:AU84,"&gt;1450")</f>
        <v>0</v>
      </c>
      <c r="AV88" s="366"/>
      <c r="AW88" s="366"/>
      <c r="AX88" s="366"/>
      <c r="AY88" s="366"/>
      <c r="AZ88" s="41"/>
      <c r="BA88" s="69">
        <f>COUNTIF(BA54:BA84,"&gt;1350")</f>
        <v>0</v>
      </c>
      <c r="BB88" s="68">
        <f>COUNTIF(BB54:BB84,"&gt;1450")</f>
        <v>0</v>
      </c>
      <c r="BC88" s="68">
        <f>COUNTIF(BC54:BC84,"&gt;1450")</f>
        <v>0</v>
      </c>
      <c r="BD88" s="68">
        <f>COUNTIF(BD54:BD84,"&gt;1450")</f>
        <v>0</v>
      </c>
      <c r="BE88" s="68">
        <f>COUNTIF(BE54:BE84,"&gt;1450")</f>
        <v>0</v>
      </c>
      <c r="BF88" s="366"/>
      <c r="BG88" s="366"/>
      <c r="BH88" s="366"/>
      <c r="BI88" s="366"/>
    </row>
    <row r="89" spans="1:61" ht="12.75" customHeight="1" x14ac:dyDescent="0.15">
      <c r="A89" s="364" t="s">
        <v>36</v>
      </c>
      <c r="B89" s="364"/>
      <c r="C89" s="136">
        <f>COUNTIF(C54:C84,"&lt;1350")</f>
        <v>23</v>
      </c>
      <c r="D89" s="136">
        <f>COUNTIF(D54:D84,"&lt;1450")</f>
        <v>23</v>
      </c>
      <c r="E89" s="136">
        <f>COUNTIF(E54:E84,"&lt;1450")</f>
        <v>23</v>
      </c>
      <c r="F89" s="136">
        <f>COUNTIF(F54:F84,"&lt;1450")</f>
        <v>19</v>
      </c>
      <c r="G89" s="136">
        <f>COUNTIF(G54:G84,"&lt;1450")</f>
        <v>20</v>
      </c>
      <c r="H89" s="366"/>
      <c r="I89" s="366"/>
      <c r="J89" s="366"/>
      <c r="K89" s="366"/>
      <c r="L89" s="41"/>
      <c r="M89" s="68">
        <f>COUNTIF(M54:M84,"&lt;1350")</f>
        <v>20</v>
      </c>
      <c r="N89" s="68">
        <f>COUNTIF(N54:N84,"&lt;1450")</f>
        <v>10</v>
      </c>
      <c r="O89" s="68">
        <f>COUNTIF(O54:O84,"&lt;1450")</f>
        <v>20</v>
      </c>
      <c r="P89" s="68">
        <f>COUNTIF(P54:P84,"&lt;1450")</f>
        <v>10</v>
      </c>
      <c r="Q89" s="68">
        <f>COUNTIF(Q54:Q84,"&lt;1450")</f>
        <v>11</v>
      </c>
      <c r="R89" s="366"/>
      <c r="S89" s="366"/>
      <c r="T89" s="366"/>
      <c r="U89" s="366"/>
      <c r="V89" s="41"/>
      <c r="W89" s="75">
        <f>COUNTIF(W54:W84,"&lt;1350")</f>
        <v>0</v>
      </c>
      <c r="X89" s="68">
        <f>COUNTIF(X54:X84,"&lt;1450")</f>
        <v>0</v>
      </c>
      <c r="Y89" s="68">
        <f>COUNTIF(Y54:Y84,"&lt;1450")</f>
        <v>0</v>
      </c>
      <c r="Z89" s="68">
        <f>COUNTIF(Z54:Z84,"&lt;1450")</f>
        <v>0</v>
      </c>
      <c r="AA89" s="68">
        <f>COUNTIF(AA54:AA84,"&lt;1450")</f>
        <v>0</v>
      </c>
      <c r="AB89" s="366"/>
      <c r="AC89" s="366"/>
      <c r="AD89" s="366"/>
      <c r="AE89" s="366"/>
      <c r="AF89" s="41"/>
      <c r="AG89" s="198">
        <f>COUNTIF(AG54:AG84,"&lt;1350")</f>
        <v>0</v>
      </c>
      <c r="AH89" s="136">
        <f>COUNTIF(AH54:AH84,"&lt;1450")</f>
        <v>0</v>
      </c>
      <c r="AI89" s="136">
        <f>COUNTIF(AI54:AI84,"&lt;1450")</f>
        <v>0</v>
      </c>
      <c r="AJ89" s="198">
        <f>COUNTIF(AJ54:AJ84,"&lt;1450")</f>
        <v>0</v>
      </c>
      <c r="AK89" s="198">
        <f>COUNTIF(AK54:AK84,"&lt;1450")</f>
        <v>0</v>
      </c>
      <c r="AL89" s="366"/>
      <c r="AM89" s="366"/>
      <c r="AN89" s="366"/>
      <c r="AO89" s="366"/>
      <c r="AP89" s="41"/>
      <c r="AQ89" s="68">
        <f>COUNTIF(AQ54:AQ84,"&lt;1350")</f>
        <v>0</v>
      </c>
      <c r="AR89" s="68">
        <f>COUNTIF(AR54:AR84,"&lt;1450")</f>
        <v>0</v>
      </c>
      <c r="AS89" s="68">
        <f>COUNTIF(AS54:AS84,"&lt;1450")</f>
        <v>0</v>
      </c>
      <c r="AT89" s="68">
        <f>COUNTIF(AT54:AT84,"&lt;1450")</f>
        <v>0</v>
      </c>
      <c r="AU89" s="68">
        <f>COUNTIF(AU54:AU84,"&lt;1450")</f>
        <v>0</v>
      </c>
      <c r="AV89" s="366"/>
      <c r="AW89" s="366"/>
      <c r="AX89" s="366"/>
      <c r="AY89" s="366"/>
      <c r="AZ89" s="41"/>
      <c r="BA89" s="69">
        <f>COUNTIF(BA54:BA84,"&lt;1350")</f>
        <v>0</v>
      </c>
      <c r="BB89" s="68">
        <f>COUNTIF(BB54:BB84,"&lt;1450")</f>
        <v>0</v>
      </c>
      <c r="BC89" s="68">
        <f>COUNTIF(BC54:BC84,"&lt;1450")</f>
        <v>0</v>
      </c>
      <c r="BD89" s="68">
        <f>COUNTIF(BD54:BD84,"&lt;1450")</f>
        <v>0</v>
      </c>
      <c r="BE89" s="68">
        <f>COUNTIF(BE54:BE84,"&lt;1450")</f>
        <v>0</v>
      </c>
      <c r="BF89" s="366"/>
      <c r="BG89" s="366"/>
      <c r="BH89" s="366"/>
      <c r="BI89" s="366"/>
    </row>
    <row r="90" spans="1:61" ht="13.5" customHeight="1" x14ac:dyDescent="0.15">
      <c r="A90" s="3"/>
      <c r="B90" s="3"/>
      <c r="V90" s="3"/>
      <c r="AF90" s="3"/>
      <c r="AG90" s="190">
        <v>12698</v>
      </c>
      <c r="AH90" s="5">
        <v>15239</v>
      </c>
      <c r="AI90" s="5">
        <v>3596</v>
      </c>
      <c r="AJ90" s="190">
        <f>22+176</f>
        <v>198</v>
      </c>
      <c r="AP90" s="3"/>
      <c r="AZ90" s="3"/>
    </row>
    <row r="92" spans="1:61" ht="12.75" customHeight="1" x14ac:dyDescent="0.15">
      <c r="V92" s="3"/>
      <c r="AC92" s="4"/>
      <c r="AD92" s="4"/>
      <c r="AE92" s="4"/>
      <c r="AF92" s="359"/>
      <c r="AG92" s="359"/>
      <c r="AH92" s="42"/>
      <c r="AI92" s="42"/>
      <c r="AJ92" s="1"/>
      <c r="AK92" s="1"/>
      <c r="AL92" s="42"/>
      <c r="AO92" s="43"/>
      <c r="AP92" s="43"/>
      <c r="AR92" s="360"/>
      <c r="AS92" s="360"/>
      <c r="AT92" s="360"/>
      <c r="AU92" s="360"/>
      <c r="AV92" s="360"/>
      <c r="AW92" s="360"/>
      <c r="AX92" s="360"/>
      <c r="AY92" s="360"/>
      <c r="AZ92" s="360"/>
      <c r="BA92" s="360"/>
      <c r="BB92" s="48" t="s">
        <v>37</v>
      </c>
      <c r="BC92" s="48"/>
      <c r="BD92" s="48"/>
      <c r="BE92" s="48"/>
    </row>
  </sheetData>
  <customSheetViews>
    <customSheetView guid="{4261CD67-5D65-4DD2-973C-86E18F346915}" scale="70">
      <selection activeCell="L22" sqref="L22"/>
      <pageMargins left="0.19645669291338602" right="0.19645669291338602" top="1.376377952755901" bottom="0.58897637795275615" header="1.08110236220472" footer="0.15629921259842508"/>
      <printOptions verticalCentered="1"/>
      <pageSetup paperSize="9" fitToWidth="0" fitToHeight="0" pageOrder="overThenDown" orientation="landscape" horizontalDpi="4294967293" verticalDpi="4294967293" r:id="rId1"/>
      <headerFooter alignWithMargins="0"/>
    </customSheetView>
    <customSheetView guid="{4B9E6F47-E822-4B41-9FB8-C018EDEE05F0}" scale="70">
      <selection activeCell="L22" sqref="L22"/>
      <pageMargins left="0.19645669291338602" right="0.19645669291338602" top="1.376377952755901" bottom="0.58897637795275615" header="1.08110236220472" footer="0.15629921259842508"/>
      <printOptions verticalCentered="1"/>
      <pageSetup paperSize="9" fitToWidth="0" fitToHeight="0" pageOrder="overThenDown" orientation="landscape" horizontalDpi="4294967293" verticalDpi="4294967293" r:id="rId2"/>
      <headerFooter alignWithMargins="0"/>
    </customSheetView>
    <customSheetView guid="{DC83EED9-1C3E-4C6D-A1B0-31B6A84600EF}" showPageBreaks="1" printArea="1" topLeftCell="A58">
      <selection activeCell="O84" sqref="O84"/>
      <pageMargins left="0.19645669291338602" right="0.19645669291338602" top="1.376377952755901" bottom="0.58897637795275615" header="1.08110236220472" footer="0.15629921259842508"/>
      <printOptions verticalCentered="1"/>
      <pageSetup paperSize="9" fitToWidth="0" fitToHeight="0" pageOrder="overThenDown" orientation="landscape" horizontalDpi="4294967293" verticalDpi="4294967293" r:id="rId3"/>
      <headerFooter alignWithMargins="0"/>
    </customSheetView>
    <customSheetView guid="{FC65A447-76B1-46C3-A530-BE3BD63222E5}" showPageBreaks="1" topLeftCell="A52">
      <selection activeCell="O82" sqref="O82"/>
      <pageMargins left="0.19645669291338602" right="0.19645669291338602" top="1.376377952755901" bottom="0.58897637795275615" header="1.08110236220472" footer="0.15629921259842508"/>
      <printOptions verticalCentered="1"/>
      <pageSetup paperSize="9" fitToWidth="0" fitToHeight="0" pageOrder="overThenDown" orientation="landscape" horizontalDpi="4294967293" verticalDpi="4294967293" r:id="rId4"/>
      <headerFooter alignWithMargins="0"/>
    </customSheetView>
    <customSheetView guid="{4879BAEC-3791-4658-A693-FD2329FBE62F}" showPageBreaks="1" printArea="1" topLeftCell="A43">
      <selection activeCell="F64" sqref="F64"/>
      <pageMargins left="0.19645669291338602" right="0.19645669291338602" top="1.376377952755901" bottom="0.58897637795275615" header="1.08110236220472" footer="0.15629921259842508"/>
      <printOptions verticalCentered="1"/>
      <pageSetup paperSize="9" fitToWidth="0" fitToHeight="0" pageOrder="overThenDown" orientation="landscape" horizontalDpi="4294967293" verticalDpi="4294967293" r:id="rId5"/>
      <headerFooter alignWithMargins="0"/>
    </customSheetView>
    <customSheetView guid="{09DE77B0-8E94-4D06-BCF9-B250CC3DB143}" showPageBreaks="1" topLeftCell="A64">
      <selection activeCell="Q87" sqref="Q87"/>
      <pageMargins left="0.19645669291338602" right="0.19645669291338602" top="1.376377952755901" bottom="0.58897637795275615" header="1.08110236220472" footer="0.15629921259842508"/>
      <printOptions verticalCentered="1"/>
      <pageSetup paperSize="9" fitToWidth="0" fitToHeight="0" pageOrder="overThenDown" orientation="landscape" horizontalDpi="4294967293" verticalDpi="4294967293" r:id="rId6"/>
      <headerFooter alignWithMargins="0"/>
    </customSheetView>
    <customSheetView guid="{7A427BED-51F8-462D-8971-894E6F1E1807}" hiddenRows="1" topLeftCell="F73">
      <selection activeCell="U95" sqref="U95"/>
      <pageMargins left="0.19645669291338602" right="0.19645669291338602" top="1.376377952755901" bottom="0.58897637795275615" header="1.08110236220472" footer="0.15629921259842508"/>
      <printOptions verticalCentered="1"/>
      <pageSetup paperSize="9" fitToWidth="0" fitToHeight="0" pageOrder="overThenDown" orientation="landscape" horizontalDpi="4294967293" verticalDpi="4294967293" r:id="rId7"/>
      <headerFooter alignWithMargins="0"/>
    </customSheetView>
    <customSheetView guid="{8AFE44F0-CCEB-490A-A987-FF999F737832}" showPageBreaks="1" topLeftCell="A74">
      <selection activeCell="L102" sqref="L102"/>
      <pageMargins left="0.19645669291338602" right="0.19645669291338602" top="1.376377952755901" bottom="0.58897637795275615" header="1.08110236220472" footer="0.15629921259842508"/>
      <printOptions verticalCentered="1"/>
      <pageSetup paperSize="9" fitToWidth="0" fitToHeight="0" pageOrder="overThenDown" orientation="landscape" r:id="rId8"/>
      <headerFooter alignWithMargins="0"/>
    </customSheetView>
    <customSheetView guid="{BA339803-3FD5-4912-A3D8-658AEF0F7917}" showPageBreaks="1" printArea="1" hiddenRows="1" topLeftCell="A66">
      <selection activeCell="T89" sqref="T89"/>
      <pageMargins left="0.19645669291338602" right="0.19645669291338602" top="1.376377952755901" bottom="0.58897637795275615" header="1.08110236220472" footer="0.15629921259842508"/>
      <printOptions verticalCentered="1"/>
      <pageSetup paperSize="9" fitToWidth="0" fitToHeight="0" pageOrder="overThenDown" orientation="landscape" r:id="rId9"/>
      <headerFooter alignWithMargins="0"/>
    </customSheetView>
    <customSheetView guid="{E1046189-0593-4822-85B0-4CB712D915A8}" showPageBreaks="1" printArea="1" hiddenRows="1" topLeftCell="AB78">
      <selection activeCell="AX97" sqref="AX97"/>
      <pageMargins left="0.19645669291338602" right="0.19645669291338602" top="1.376377952755901" bottom="0.58897637795275615" header="1.08110236220472" footer="0.15629921259842508"/>
      <printOptions verticalCentered="1"/>
      <pageSetup paperSize="9" fitToWidth="0" fitToHeight="0" pageOrder="overThenDown" orientation="landscape" r:id="rId10"/>
      <headerFooter alignWithMargins="0"/>
    </customSheetView>
    <customSheetView guid="{781FA43A-FAFC-44CB-8225-E8FEFB665584}" showPageBreaks="1" printArea="1" hiddenRows="1" topLeftCell="A12">
      <selection activeCell="AD35" sqref="AD35"/>
      <pageMargins left="0.19645669291338602" right="0.19645669291338602" top="1.376377952755901" bottom="0.58897637795275615" header="1.08110236220472" footer="0.15629921259842508"/>
      <printOptions verticalCentered="1"/>
      <pageSetup paperSize="9" fitToWidth="0" fitToHeight="0" pageOrder="overThenDown" orientation="landscape" horizontalDpi="4294967293" verticalDpi="4294967293" r:id="rId11"/>
      <headerFooter alignWithMargins="0"/>
    </customSheetView>
    <customSheetView guid="{35E7B74B-5C50-4345-AD18-D6131D85F12B}" showPageBreaks="1" printArea="1" topLeftCell="A7">
      <selection activeCell="N36" sqref="N36"/>
      <pageMargins left="0.19645669291338602" right="0.19645669291338602" top="1.376377952755901" bottom="0.58897637795275615" header="1.08110236220472" footer="0.15629921259842508"/>
      <printOptions verticalCentered="1"/>
      <pageSetup paperSize="9" fitToWidth="0" fitToHeight="0" pageOrder="overThenDown" orientation="landscape" horizontalDpi="4294967293" verticalDpi="4294967293" r:id="rId12"/>
      <headerFooter alignWithMargins="0"/>
    </customSheetView>
    <customSheetView guid="{38BA792E-EF95-4340-A8CF-68FD70006451}" topLeftCell="Z1">
      <selection activeCell="BJ17" sqref="BJ17"/>
      <pageMargins left="0.19645669291338602" right="0.19645669291338602" top="1.376377952755901" bottom="0.58897637795275615" header="1.08110236220472" footer="0.15629921259842508"/>
      <printOptions verticalCentered="1"/>
      <pageSetup paperSize="9" fitToWidth="0" fitToHeight="0" pageOrder="overThenDown" orientation="landscape" horizontalDpi="4294967293" verticalDpi="4294967293" r:id="rId13"/>
      <headerFooter alignWithMargins="0"/>
    </customSheetView>
    <customSheetView guid="{4719C0D8-EE4A-4956-A237-9DAAAFF50362}" topLeftCell="O60">
      <selection activeCell="AL84" sqref="AL84"/>
      <pageMargins left="0.19645669291338602" right="0.19645669291338602" top="1.376377952755901" bottom="0.58897637795275615" header="1.08110236220472" footer="0.15629921259842508"/>
      <printOptions verticalCentered="1"/>
      <pageSetup paperSize="9" fitToWidth="0" fitToHeight="0" pageOrder="overThenDown" orientation="landscape" horizontalDpi="4294967293" verticalDpi="4294967293" r:id="rId14"/>
      <headerFooter alignWithMargins="0"/>
    </customSheetView>
    <customSheetView guid="{6462001D-9448-412B-8B6E-D6C1233548C2}" showPageBreaks="1" printArea="1" topLeftCell="A52">
      <selection activeCell="Y64" sqref="Y64"/>
      <pageMargins left="0.25" right="0.25" top="0.75" bottom="0.75" header="0.3" footer="0.3"/>
      <printOptions verticalCentered="1"/>
      <pageSetup paperSize="8" fitToWidth="0" fitToHeight="0" pageOrder="overThenDown" orientation="landscape" horizontalDpi="1200" verticalDpi="1200" r:id="rId15"/>
      <headerFooter alignWithMargins="0"/>
    </customSheetView>
    <customSheetView guid="{F5BBF2EC-1D5D-4FD5-874A-CB11716B3312}" topLeftCell="AP5">
      <selection activeCell="BE28" sqref="BE28"/>
      <pageMargins left="0.19645669291338602" right="0.19645669291338602" top="1.376377952755901" bottom="0.58897637795275615" header="1.08110236220472" footer="0.15629921259842508"/>
      <printOptions verticalCentered="1"/>
      <pageSetup paperSize="9" fitToWidth="0" fitToHeight="0" pageOrder="overThenDown" orientation="landscape" horizontalDpi="4294967293" verticalDpi="4294967293" r:id="rId16"/>
      <headerFooter alignWithMargins="0"/>
    </customSheetView>
    <customSheetView guid="{BFDCF3BE-F74C-42B4-8F42-062335C5AF51}" showPageBreaks="1" printArea="1" topLeftCell="AH7">
      <selection activeCell="BD39" sqref="BD39"/>
      <pageMargins left="0.19645669291338602" right="0.19645669291338602" top="1.376377952755901" bottom="0.58897637795275615" header="1.08110236220472" footer="0.15629921259842508"/>
      <printOptions verticalCentered="1"/>
      <pageSetup paperSize="9" fitToWidth="0" fitToHeight="0" pageOrder="overThenDown" orientation="landscape" horizontalDpi="4294967293" verticalDpi="4294967293" r:id="rId17"/>
      <headerFooter alignWithMargins="0"/>
    </customSheetView>
    <customSheetView guid="{096D0DC6-99EA-4F79-A509-C071224F6682}" showPageBreaks="1" topLeftCell="A41">
      <selection activeCell="C61" sqref="C61"/>
      <pageMargins left="0.19645669291338602" right="0.19645669291338602" top="1.376377952755901" bottom="0.58897637795275615" header="1.08110236220472" footer="0.15629921259842508"/>
      <printOptions verticalCentered="1"/>
      <pageSetup paperSize="9" fitToWidth="0" fitToHeight="0" pageOrder="overThenDown" orientation="landscape" horizontalDpi="4294967293" verticalDpi="4294967293" r:id="rId18"/>
      <headerFooter alignWithMargins="0"/>
    </customSheetView>
    <customSheetView guid="{0EA2A0E4-3571-4C45-BBF8-BCABC864F506}" showPageBreaks="1" printArea="1" topLeftCell="A49">
      <selection activeCell="F58" sqref="F58"/>
      <pageMargins left="0.19645669291338602" right="0.19645669291338602" top="1.376377952755901" bottom="0.58897637795275615" header="1.08110236220472" footer="0.15629921259842508"/>
      <printOptions verticalCentered="1"/>
      <pageSetup paperSize="9" fitToWidth="0" fitToHeight="0" pageOrder="overThenDown" orientation="landscape" horizontalDpi="4294967293" verticalDpi="4294967293" r:id="rId19"/>
      <headerFooter alignWithMargins="0"/>
    </customSheetView>
    <customSheetView guid="{2D240480-6B64-4D29-A7D0-22E491BE40D6}" showPageBreaks="1" topLeftCell="A58">
      <selection activeCell="P83" sqref="P83"/>
      <pageMargins left="0.19645669291338602" right="0.19645669291338602" top="1.376377952755901" bottom="0.58897637795275615" header="1.08110236220472" footer="0.15629921259842508"/>
      <printOptions verticalCentered="1"/>
      <pageSetup paperSize="9" fitToWidth="0" fitToHeight="0" pageOrder="overThenDown" orientation="landscape" horizontalDpi="4294967293" verticalDpi="4294967293" r:id="rId20"/>
      <headerFooter alignWithMargins="0"/>
    </customSheetView>
    <customSheetView guid="{C18F1F9C-B116-4E95-8E90-53E8D7B1490F}" showPageBreaks="1" topLeftCell="A69">
      <selection activeCell="P87" sqref="P87"/>
      <pageMargins left="0.19645669291338602" right="0.19645669291338602" top="1.376377952755901" bottom="0.58897637795275615" header="1.08110236220472" footer="0.15629921259842508"/>
      <printOptions verticalCentered="1"/>
      <pageSetup paperSize="9" fitToWidth="0" fitToHeight="0" pageOrder="overThenDown" orientation="landscape" horizontalDpi="4294967293" verticalDpi="4294967293" r:id="rId21"/>
      <headerFooter alignWithMargins="0"/>
    </customSheetView>
    <customSheetView guid="{F7DA9C1B-4821-440A-834F-2E15A1FB3CD1}" showPageBreaks="1" topLeftCell="A68">
      <selection activeCell="R87" sqref="R87:U87"/>
      <pageMargins left="0.19645669291338602" right="0.19645669291338602" top="1.376377952755901" bottom="0.58897637795275615" header="1.08110236220472" footer="0.15629921259842508"/>
      <printOptions verticalCentered="1"/>
      <pageSetup paperSize="9" fitToWidth="0" fitToHeight="0" pageOrder="overThenDown" orientation="landscape" horizontalDpi="4294967293" verticalDpi="4294967293" r:id="rId22"/>
      <headerFooter alignWithMargins="0"/>
    </customSheetView>
    <customSheetView guid="{00143794-1634-4728-804C-0864C5535C6C}" scale="70" showPageBreaks="1">
      <selection activeCell="V5" sqref="V5"/>
      <pageMargins left="0.19685039370078741" right="0.19685039370078741" top="0.59055118110236227" bottom="0.59055118110236227" header="0.27559055118110237" footer="0.15748031496062992"/>
      <printOptions horizontalCentered="1" verticalCentered="1"/>
      <pageSetup paperSize="9" fitToWidth="0" fitToHeight="0" pageOrder="overThenDown" orientation="landscape" horizontalDpi="4294967293" verticalDpi="4294967293" r:id="rId23"/>
      <headerFooter alignWithMargins="0">
        <oddHeader>&amp;L041-24&amp;CCCTP - Annexe 1 - Données de fréquentation</oddHeader>
        <oddFooter>Page &amp;P de &amp;N</oddFooter>
      </headerFooter>
    </customSheetView>
  </customSheetViews>
  <mergeCells count="125">
    <mergeCell ref="AQ4:AZ4"/>
    <mergeCell ref="BF4:BI4"/>
    <mergeCell ref="AQ5:AZ5"/>
    <mergeCell ref="BF5:BI6"/>
    <mergeCell ref="AQ2:AZ2"/>
    <mergeCell ref="BF2:BI2"/>
    <mergeCell ref="AQ3:AZ3"/>
    <mergeCell ref="BA3:BI3"/>
    <mergeCell ref="C6:D6"/>
    <mergeCell ref="H6:J6"/>
    <mergeCell ref="R6:T6"/>
    <mergeCell ref="AB6:AD6"/>
    <mergeCell ref="AQ6:AZ6"/>
    <mergeCell ref="A8:A10"/>
    <mergeCell ref="B8:K8"/>
    <mergeCell ref="L8:U8"/>
    <mergeCell ref="V8:AE8"/>
    <mergeCell ref="AF8:AO8"/>
    <mergeCell ref="AP8:AY8"/>
    <mergeCell ref="AZ8:BI8"/>
    <mergeCell ref="B9:B10"/>
    <mergeCell ref="C9:K9"/>
    <mergeCell ref="L9:L10"/>
    <mergeCell ref="M9:U9"/>
    <mergeCell ref="V9:V10"/>
    <mergeCell ref="W9:AE9"/>
    <mergeCell ref="AF9:AF10"/>
    <mergeCell ref="H10:K10"/>
    <mergeCell ref="AB10:AE10"/>
    <mergeCell ref="AL10:AO10"/>
    <mergeCell ref="AV10:AY10"/>
    <mergeCell ref="BF10:BI10"/>
    <mergeCell ref="AG9:AO9"/>
    <mergeCell ref="AP9:AP10"/>
    <mergeCell ref="AQ9:AY9"/>
    <mergeCell ref="AZ9:AZ10"/>
    <mergeCell ref="BA9:BI9"/>
    <mergeCell ref="A43:B43"/>
    <mergeCell ref="H43:K43"/>
    <mergeCell ref="C11:K11"/>
    <mergeCell ref="AQ11:AV11"/>
    <mergeCell ref="AQ18:AV18"/>
    <mergeCell ref="S25:U28"/>
    <mergeCell ref="S29:U32"/>
    <mergeCell ref="A46:B46"/>
    <mergeCell ref="H46:K47"/>
    <mergeCell ref="R46:U47"/>
    <mergeCell ref="AB46:AE47"/>
    <mergeCell ref="BF46:BI47"/>
    <mergeCell ref="A47:B47"/>
    <mergeCell ref="BA44:BI44"/>
    <mergeCell ref="A45:B45"/>
    <mergeCell ref="H45:K45"/>
    <mergeCell ref="R45:U45"/>
    <mergeCell ref="AB45:AE45"/>
    <mergeCell ref="BF45:BI45"/>
    <mergeCell ref="A44:B44"/>
    <mergeCell ref="C44:K44"/>
    <mergeCell ref="M44:U44"/>
    <mergeCell ref="W44:AE44"/>
    <mergeCell ref="AG44:AO44"/>
    <mergeCell ref="AQ44:AY44"/>
    <mergeCell ref="AZ51:BI51"/>
    <mergeCell ref="B52:B53"/>
    <mergeCell ref="C52:K52"/>
    <mergeCell ref="L52:L53"/>
    <mergeCell ref="M52:U52"/>
    <mergeCell ref="V52:V53"/>
    <mergeCell ref="W52:AE52"/>
    <mergeCell ref="AF52:AF53"/>
    <mergeCell ref="H53:K53"/>
    <mergeCell ref="R53:U53"/>
    <mergeCell ref="AB53:AE53"/>
    <mergeCell ref="AL53:AO53"/>
    <mergeCell ref="AV53:AY53"/>
    <mergeCell ref="BF53:BI53"/>
    <mergeCell ref="AZ52:AZ53"/>
    <mergeCell ref="BA52:BI52"/>
    <mergeCell ref="AB49:AD49"/>
    <mergeCell ref="S50:T50"/>
    <mergeCell ref="U50:W50"/>
    <mergeCell ref="A51:A53"/>
    <mergeCell ref="B51:K51"/>
    <mergeCell ref="L51:U51"/>
    <mergeCell ref="V51:AE51"/>
    <mergeCell ref="AF51:AO51"/>
    <mergeCell ref="AP51:AY51"/>
    <mergeCell ref="AG52:AO52"/>
    <mergeCell ref="AP52:AP53"/>
    <mergeCell ref="AQ52:AY52"/>
    <mergeCell ref="C67:H67"/>
    <mergeCell ref="AM70:AO84"/>
    <mergeCell ref="BG72:BI84"/>
    <mergeCell ref="BA78:BF78"/>
    <mergeCell ref="S54:U83"/>
    <mergeCell ref="AQ54:AV54"/>
    <mergeCell ref="AW54:AY54"/>
    <mergeCell ref="I57:K58"/>
    <mergeCell ref="I59:K84"/>
    <mergeCell ref="AQ64:AV64"/>
    <mergeCell ref="A85:B85"/>
    <mergeCell ref="A89:B89"/>
    <mergeCell ref="BF87:BI87"/>
    <mergeCell ref="A88:B88"/>
    <mergeCell ref="H88:K89"/>
    <mergeCell ref="R88:U89"/>
    <mergeCell ref="AB88:AE89"/>
    <mergeCell ref="AL88:AO89"/>
    <mergeCell ref="AV88:AY89"/>
    <mergeCell ref="BF88:BI89"/>
    <mergeCell ref="A87:B87"/>
    <mergeCell ref="H87:K87"/>
    <mergeCell ref="R87:U87"/>
    <mergeCell ref="AB87:AE87"/>
    <mergeCell ref="AL87:AO87"/>
    <mergeCell ref="AV87:AY87"/>
    <mergeCell ref="AF92:AG92"/>
    <mergeCell ref="AR92:BA92"/>
    <mergeCell ref="A86:B86"/>
    <mergeCell ref="C86:K86"/>
    <mergeCell ref="M86:U86"/>
    <mergeCell ref="W86:AE86"/>
    <mergeCell ref="AG86:AO86"/>
    <mergeCell ref="AQ86:AY86"/>
    <mergeCell ref="BA86:BI86"/>
  </mergeCells>
  <printOptions horizontalCentered="1" verticalCentered="1"/>
  <pageMargins left="0.19685039370078741" right="0.19685039370078741" top="0.59055118110236227" bottom="0.59055118110236227" header="0.27559055118110237" footer="0.15748031496062992"/>
  <pageSetup paperSize="9" fitToWidth="0" fitToHeight="0" pageOrder="overThenDown" orientation="landscape" horizontalDpi="4294967293" verticalDpi="4294967293" r:id="rId24"/>
  <headerFooter alignWithMargins="0">
    <oddHeader>&amp;L041-24&amp;CCCTP - Annexe 1 - Données de fréquentation</oddHeader>
    <oddFooter>Page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"/>
  <sheetViews>
    <sheetView zoomScaleNormal="85" workbookViewId="0">
      <selection activeCell="G15" sqref="G15"/>
    </sheetView>
  </sheetViews>
  <sheetFormatPr baseColWidth="10" defaultRowHeight="14.25" x14ac:dyDescent="0.2"/>
  <cols>
    <col min="2" max="2" width="20.625" customWidth="1"/>
    <col min="3" max="3" width="17.375" customWidth="1"/>
    <col min="4" max="4" width="18.625" style="358" customWidth="1"/>
  </cols>
  <sheetData/>
  <customSheetViews>
    <customSheetView guid="{4261CD67-5D65-4DD2-973C-86E18F346915}">
      <selection activeCell="F7" sqref="F7"/>
      <pageMargins left="0.7" right="0.7" top="0.75" bottom="0.75" header="0.3" footer="0.3"/>
    </customSheetView>
    <customSheetView guid="{4B9E6F47-E822-4B41-9FB8-C018EDEE05F0}">
      <selection activeCell="E11" sqref="E11:F12"/>
      <pageMargins left="0.7" right="0.7" top="0.75" bottom="0.75" header="0.3" footer="0.3"/>
    </customSheetView>
    <customSheetView guid="{DC83EED9-1C3E-4C6D-A1B0-31B6A84600EF}">
      <selection activeCell="C15" sqref="C15"/>
      <pageMargins left="0.7" right="0.7" top="0.75" bottom="0.75" header="0.3" footer="0.3"/>
    </customSheetView>
    <customSheetView guid="{FC65A447-76B1-46C3-A530-BE3BD63222E5}" topLeftCell="A4">
      <selection activeCell="F23" sqref="F23"/>
      <pageMargins left="0.7" right="0.7" top="0.75" bottom="0.75" header="0.3" footer="0.3"/>
    </customSheetView>
    <customSheetView guid="{4879BAEC-3791-4658-A693-FD2329FBE62F}">
      <selection activeCell="C15" sqref="C15"/>
      <pageMargins left="0.7" right="0.7" top="0.75" bottom="0.75" header="0.3" footer="0.3"/>
    </customSheetView>
    <customSheetView guid="{09DE77B0-8E94-4D06-BCF9-B250CC3DB143}">
      <selection activeCell="C15" sqref="C15"/>
      <pageMargins left="0.7" right="0.7" top="0.75" bottom="0.75" header="0.3" footer="0.3"/>
    </customSheetView>
    <customSheetView guid="{35E7B74B-5C50-4345-AD18-D6131D85F12B}">
      <selection activeCell="C15" sqref="C15"/>
      <pageMargins left="0.7" right="0.7" top="0.75" bottom="0.75" header="0.3" footer="0.3"/>
    </customSheetView>
    <customSheetView guid="{38BA792E-EF95-4340-A8CF-68FD70006451}">
      <selection activeCell="F23" sqref="F23"/>
      <pageMargins left="0.7" right="0.7" top="0.75" bottom="0.75" header="0.3" footer="0.3"/>
    </customSheetView>
    <customSheetView guid="{4719C0D8-EE4A-4956-A237-9DAAAFF50362}" scale="85" topLeftCell="D2">
      <selection activeCell="F23" sqref="F23"/>
      <pageMargins left="0.7" right="0.7" top="0.75" bottom="0.75" header="0.3" footer="0.3"/>
    </customSheetView>
    <customSheetView guid="{6462001D-9448-412B-8B6E-D6C1233548C2}">
      <selection activeCell="D44" sqref="D44:F44"/>
      <pageMargins left="0.7" right="0.7" top="0.75" bottom="0.75" header="0.3" footer="0.3"/>
      <pageSetup paperSize="9" orientation="portrait" r:id="rId1"/>
    </customSheetView>
    <customSheetView guid="{F5BBF2EC-1D5D-4FD5-874A-CB11716B3312}">
      <selection activeCell="C15" sqref="C15"/>
      <pageMargins left="0.7" right="0.7" top="0.75" bottom="0.75" header="0.3" footer="0.3"/>
    </customSheetView>
    <customSheetView guid="{BFDCF3BE-F74C-42B4-8F42-062335C5AF51}">
      <selection activeCell="C15" sqref="C15"/>
      <pageMargins left="0.7" right="0.7" top="0.75" bottom="0.75" header="0.3" footer="0.3"/>
    </customSheetView>
    <customSheetView guid="{096D0DC6-99EA-4F79-A509-C071224F6682}" topLeftCell="A19">
      <selection activeCell="G30" sqref="G30"/>
      <pageMargins left="0.7" right="0.7" top="0.75" bottom="0.75" header="0.3" footer="0.3"/>
    </customSheetView>
    <customSheetView guid="{0EA2A0E4-3571-4C45-BBF8-BCABC864F506}">
      <selection activeCell="C15" sqref="C15"/>
      <pageMargins left="0.7" right="0.7" top="0.75" bottom="0.75" header="0.3" footer="0.3"/>
    </customSheetView>
    <customSheetView guid="{2D240480-6B64-4D29-A7D0-22E491BE40D6}" topLeftCell="A4">
      <selection activeCell="F23" sqref="F23"/>
      <pageMargins left="0.7" right="0.7" top="0.75" bottom="0.75" header="0.3" footer="0.3"/>
    </customSheetView>
    <customSheetView guid="{C18F1F9C-B116-4E95-8E90-53E8D7B1490F}">
      <selection activeCell="C15" sqref="C15"/>
      <pageMargins left="0.7" right="0.7" top="0.75" bottom="0.75" header="0.3" footer="0.3"/>
    </customSheetView>
    <customSheetView guid="{F7DA9C1B-4821-440A-834F-2E15A1FB3CD1}">
      <selection activeCell="F23" sqref="F23"/>
      <pageMargins left="0.7" right="0.7" top="0.75" bottom="0.75" header="0.3" footer="0.3"/>
    </customSheetView>
    <customSheetView guid="{00143794-1634-4728-804C-0864C5535C6C}">
      <selection activeCell="G15" sqref="G15"/>
      <pageMargins left="0.7" right="0.7" top="0.75" bottom="0.75" header="0.3" footer="0.3"/>
    </customSheetView>
  </customSheetView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AAADBEE029D745BD952BC90A647A79" ma:contentTypeVersion="18" ma:contentTypeDescription="Crée un document." ma:contentTypeScope="" ma:versionID="c6c9494ed05d725bee719502fe086bed">
  <xsd:schema xmlns:xsd="http://www.w3.org/2001/XMLSchema" xmlns:xs="http://www.w3.org/2001/XMLSchema" xmlns:p="http://schemas.microsoft.com/office/2006/metadata/properties" xmlns:ns2="7e0d88a4-59cf-4112-944e-7a3556adaa74" xmlns:ns3="05b9741e-d302-45f1-8ba8-fc740731a1ce" targetNamespace="http://schemas.microsoft.com/office/2006/metadata/properties" ma:root="true" ma:fieldsID="712271985ccfab03e6c1ce2346e796ac" ns2:_="" ns3:_="">
    <xsd:import namespace="7e0d88a4-59cf-4112-944e-7a3556adaa74"/>
    <xsd:import namespace="05b9741e-d302-45f1-8ba8-fc740731a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0d88a4-59cf-4112-944e-7a3556adaa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47f7f7bb-03ed-44e2-b40c-9fb3702873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b9741e-d302-45f1-8ba8-fc740731a1ce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240c74ed-896c-46d1-bc6f-7c893681220e}" ma:internalName="TaxCatchAll" ma:showField="CatchAllData" ma:web="05b9741e-d302-45f1-8ba8-fc740731a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e0d88a4-59cf-4112-944e-7a3556adaa74">
      <Terms xmlns="http://schemas.microsoft.com/office/infopath/2007/PartnerControls"/>
    </lcf76f155ced4ddcb4097134ff3c332f>
    <TaxCatchAll xmlns="05b9741e-d302-45f1-8ba8-fc740731a1ce" xsi:nil="true"/>
  </documentManagement>
</p:properties>
</file>

<file path=customXml/itemProps1.xml><?xml version="1.0" encoding="utf-8"?>
<ds:datastoreItem xmlns:ds="http://schemas.openxmlformats.org/officeDocument/2006/customXml" ds:itemID="{C274BC6B-3D7B-4269-971B-E84EF6E341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4F684C-466A-4BCE-93E0-0FD03071BC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0d88a4-59cf-4112-944e-7a3556adaa74"/>
    <ds:schemaRef ds:uri="05b9741e-d302-45f1-8ba8-fc740731a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B6AEAA2-CD82-40DA-B989-E87F43EF0839}">
  <ds:schemaRefs>
    <ds:schemaRef ds:uri="http://schemas.openxmlformats.org/package/2006/metadata/core-properties"/>
    <ds:schemaRef ds:uri="http://www.w3.org/XML/1998/namespace"/>
    <ds:schemaRef ds:uri="7e0d88a4-59cf-4112-944e-7a3556adaa74"/>
    <ds:schemaRef ds:uri="http://purl.org/dc/elements/1.1/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05b9741e-d302-45f1-8ba8-fc740731a1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041-24 CCTP Annexe1 - 2023</vt:lpstr>
      <vt:lpstr>041-24 CCTP Annexe1 - 2024</vt:lpstr>
      <vt:lpstr>S.O.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PIERRE TRAN TRONG</dc:creator>
  <cp:lastModifiedBy>BUTTAFOCO Laurence</cp:lastModifiedBy>
  <cp:revision>1</cp:revision>
  <cp:lastPrinted>2025-04-04T11:35:15Z</cp:lastPrinted>
  <dcterms:created xsi:type="dcterms:W3CDTF">2021-01-12T13:58:27Z</dcterms:created>
  <dcterms:modified xsi:type="dcterms:W3CDTF">2025-04-04T12:14:02Z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0x01010081AAADBEE029D745BD952BC90A647A79</vt:lpwstr>
  </property>
  <property fmtid="{D5CDD505-2E9C-101B-9397-08002B2CF9AE}" pid="3" name="MediaServiceImageTags">
    <vt:lpwstr/>
  </property>
</Properties>
</file>