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D:\AJ Innov\Affaires AJ INNOV\AJ-2023-04 UCBL Haefely\3- PRO-DCE\Rendu DCE\"/>
    </mc:Choice>
  </mc:AlternateContent>
  <xr:revisionPtr revIDLastSave="0" documentId="13_ncr:1_{2827317C-A9AD-4BFB-9EDF-BAAA6B322AA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HAEF Bilan puissance CVC &amp; elec" sheetId="3" r:id="rId1"/>
    <sheet name="HAEF Bilan CVC pièce par pièce" sheetId="5" r:id="rId2"/>
  </sheets>
  <definedNames>
    <definedName name="_xlnm.Print_Area" localSheetId="0">'HAEF Bilan puissance CVC &amp; elec'!$A$1:$J$50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3" l="1"/>
  <c r="G48" i="3"/>
  <c r="G14" i="3"/>
  <c r="G30" i="3"/>
  <c r="AB43" i="5" l="1"/>
  <c r="AB42" i="5"/>
  <c r="AB41" i="5"/>
  <c r="AB31" i="5"/>
  <c r="AB32" i="5"/>
  <c r="AB33" i="5"/>
  <c r="AB34" i="5"/>
  <c r="AB30" i="5"/>
  <c r="AB29" i="5"/>
  <c r="AB28" i="5"/>
  <c r="AB27" i="5"/>
  <c r="AB26" i="5"/>
  <c r="AB19" i="5"/>
  <c r="AB9" i="5"/>
  <c r="AB8" i="5"/>
  <c r="AC8" i="5"/>
  <c r="AK8" i="5" s="1"/>
  <c r="F49" i="3" l="1"/>
  <c r="D28" i="3"/>
  <c r="E28" i="3"/>
  <c r="E30" i="3"/>
  <c r="D30" i="3"/>
  <c r="G29" i="3"/>
  <c r="G28" i="3"/>
  <c r="E49" i="3"/>
  <c r="E15" i="3"/>
  <c r="G49" i="3"/>
  <c r="G35" i="3"/>
  <c r="G22" i="3"/>
  <c r="AE43" i="5"/>
  <c r="AE42" i="5"/>
  <c r="AE41" i="5"/>
  <c r="AD2" i="5"/>
  <c r="G25" i="3"/>
  <c r="G26" i="3"/>
  <c r="G21" i="3"/>
  <c r="S41" i="5" l="1"/>
  <c r="Q42" i="5"/>
  <c r="AG9" i="5"/>
  <c r="AF9" i="5"/>
  <c r="AG8" i="5"/>
  <c r="AF8" i="5"/>
  <c r="AX30" i="5"/>
  <c r="AX43" i="5"/>
  <c r="AX42" i="5"/>
  <c r="AX41" i="5"/>
  <c r="AY30" i="5"/>
  <c r="AU30" i="5"/>
  <c r="AU31" i="5"/>
  <c r="AZ30" i="5" l="1"/>
  <c r="AJ12" i="5"/>
  <c r="BJ26" i="5"/>
  <c r="BK26" i="5" s="1"/>
  <c r="BG29" i="5"/>
  <c r="AY42" i="5"/>
  <c r="AY41" i="5"/>
  <c r="AY43" i="5"/>
  <c r="AH43" i="5"/>
  <c r="AA44" i="5"/>
  <c r="Q34" i="5"/>
  <c r="Q32" i="5"/>
  <c r="Q29" i="5"/>
  <c r="Q28" i="5"/>
  <c r="Q27" i="5"/>
  <c r="Q26" i="5"/>
  <c r="Q19" i="5"/>
  <c r="Q9" i="5"/>
  <c r="W42" i="5"/>
  <c r="AH42" i="5" s="1"/>
  <c r="W41" i="5"/>
  <c r="BN11" i="5"/>
  <c r="BJ8" i="5"/>
  <c r="BH13" i="5"/>
  <c r="BF13" i="5"/>
  <c r="BD13" i="5"/>
  <c r="AR8" i="5"/>
  <c r="AJ9" i="5"/>
  <c r="W9" i="5"/>
  <c r="W8" i="5"/>
  <c r="AH8" i="5" s="1"/>
  <c r="AH9" i="5" l="1"/>
  <c r="AL9" i="5" s="1"/>
  <c r="AH41" i="5"/>
  <c r="AD28" i="5" l="1"/>
  <c r="AD29" i="5"/>
  <c r="AA13" i="5"/>
  <c r="Z13" i="5"/>
  <c r="AC12" i="5"/>
  <c r="AA30" i="5"/>
  <c r="AJ30" i="5" s="1"/>
  <c r="D27" i="3" s="1"/>
  <c r="AA31" i="5"/>
  <c r="AJ31" i="5" s="1"/>
  <c r="AA32" i="5"/>
  <c r="AJ32" i="5" s="1"/>
  <c r="AA33" i="5"/>
  <c r="AJ33" i="5" s="1"/>
  <c r="AA34" i="5"/>
  <c r="AJ34" i="5" s="1"/>
  <c r="AA26" i="5"/>
  <c r="AJ26" i="5" s="1"/>
  <c r="AA27" i="5"/>
  <c r="AJ27" i="5" s="1"/>
  <c r="AA28" i="5"/>
  <c r="AA29" i="5"/>
  <c r="BJ29" i="5"/>
  <c r="BG28" i="5"/>
  <c r="BJ28" i="5" s="1"/>
  <c r="BI34" i="5"/>
  <c r="BE34" i="5"/>
  <c r="BG27" i="5"/>
  <c r="BJ27" i="5" s="1"/>
  <c r="BK27" i="5" s="1"/>
  <c r="W19" i="5"/>
  <c r="AF19" i="5"/>
  <c r="AG19" i="5"/>
  <c r="AA20" i="5"/>
  <c r="Y20" i="5"/>
  <c r="Z20" i="5"/>
  <c r="Y29" i="5"/>
  <c r="Y28" i="5"/>
  <c r="W34" i="5"/>
  <c r="AH34" i="5" s="1"/>
  <c r="AL13" i="5"/>
  <c r="AJ13" i="5"/>
  <c r="W33" i="5"/>
  <c r="AH33" i="5" s="1"/>
  <c r="W32" i="5"/>
  <c r="AH32" i="5" s="1"/>
  <c r="W31" i="5"/>
  <c r="AH31" i="5" s="1"/>
  <c r="W30" i="5"/>
  <c r="AH30" i="5" s="1"/>
  <c r="BJ34" i="5" l="1"/>
  <c r="AA35" i="5"/>
  <c r="W29" i="5"/>
  <c r="AH29" i="5" s="1"/>
  <c r="W28" i="5"/>
  <c r="AH28" i="5" s="1"/>
  <c r="W27" i="5"/>
  <c r="AH27" i="5" s="1"/>
  <c r="W26" i="5"/>
  <c r="AH26" i="5" s="1"/>
  <c r="AG27" i="5"/>
  <c r="AG26" i="5"/>
  <c r="AF27" i="5"/>
  <c r="AF26" i="5"/>
  <c r="AN27" i="5"/>
  <c r="E27" i="5"/>
  <c r="AF43" i="5"/>
  <c r="AP27" i="5" l="1"/>
  <c r="AE27" i="5" l="1"/>
  <c r="AL27" i="5" s="1"/>
  <c r="BL27" i="5"/>
  <c r="BP27" i="5" s="1"/>
  <c r="AC27" i="5"/>
  <c r="BN27" i="5"/>
  <c r="BO27" i="5" s="1"/>
  <c r="AG31" i="5"/>
  <c r="AF31" i="5"/>
  <c r="E31" i="5"/>
  <c r="AG30" i="5"/>
  <c r="AF30" i="5"/>
  <c r="E30" i="5"/>
  <c r="AN33" i="5"/>
  <c r="AG33" i="5"/>
  <c r="AF33" i="5"/>
  <c r="E33" i="5"/>
  <c r="AN31" i="5"/>
  <c r="E9" i="3"/>
  <c r="AR30" i="5" l="1"/>
  <c r="BA30" i="5"/>
  <c r="BB30" i="5" s="1"/>
  <c r="AI27" i="5"/>
  <c r="AK27" i="5"/>
  <c r="BM27" i="5"/>
  <c r="AP31" i="5"/>
  <c r="AP33" i="5"/>
  <c r="AE33" i="5" s="1"/>
  <c r="G9" i="3"/>
  <c r="G15" i="3" s="1"/>
  <c r="AE31" i="5" l="1"/>
  <c r="AL33" i="5"/>
  <c r="AV31" i="5"/>
  <c r="AW31" i="5" s="1"/>
  <c r="AC31" i="5"/>
  <c r="AL31" i="5"/>
  <c r="AS31" i="5" s="1"/>
  <c r="AC33" i="5"/>
  <c r="AK31" i="5"/>
  <c r="AI33" i="5"/>
  <c r="AI31" i="5"/>
  <c r="BL33" i="5"/>
  <c r="BP33" i="5" s="1"/>
  <c r="BX44" i="5"/>
  <c r="BU44" i="5"/>
  <c r="C44" i="5"/>
  <c r="AT43" i="5"/>
  <c r="AN43" i="5"/>
  <c r="AG43" i="5"/>
  <c r="E43" i="5"/>
  <c r="BA43" i="5" s="1"/>
  <c r="BQ42" i="5"/>
  <c r="AT42" i="5"/>
  <c r="AN42" i="5"/>
  <c r="AG42" i="5"/>
  <c r="AF42" i="5"/>
  <c r="E42" i="5"/>
  <c r="BA42" i="5" s="1"/>
  <c r="BQ41" i="5"/>
  <c r="BQ43" i="5" s="1"/>
  <c r="AT41" i="5"/>
  <c r="AN41" i="5"/>
  <c r="AG41" i="5"/>
  <c r="AF41" i="5"/>
  <c r="E41" i="5"/>
  <c r="BA41" i="5" s="1"/>
  <c r="BH35" i="5"/>
  <c r="BF35" i="5"/>
  <c r="BD35" i="5"/>
  <c r="C35" i="5"/>
  <c r="BK34" i="5"/>
  <c r="AN34" i="5"/>
  <c r="AG34" i="5"/>
  <c r="AF34" i="5"/>
  <c r="E34" i="5"/>
  <c r="AN30" i="5"/>
  <c r="AP30" i="5" s="1"/>
  <c r="AN32" i="5"/>
  <c r="AG32" i="5"/>
  <c r="AF32" i="5"/>
  <c r="E32" i="5"/>
  <c r="BQ29" i="5"/>
  <c r="BK29" i="5"/>
  <c r="AN29" i="5"/>
  <c r="AG29" i="5"/>
  <c r="AF29" i="5"/>
  <c r="E29" i="5"/>
  <c r="Z29" i="5" s="1"/>
  <c r="BQ28" i="5"/>
  <c r="BK28" i="5"/>
  <c r="AN28" i="5"/>
  <c r="AG28" i="5"/>
  <c r="AF28" i="5"/>
  <c r="E28" i="5"/>
  <c r="Z28" i="5" s="1"/>
  <c r="AN26" i="5"/>
  <c r="E26" i="5"/>
  <c r="AH20" i="5"/>
  <c r="C20" i="5"/>
  <c r="AN19" i="5"/>
  <c r="AP19" i="5" s="1"/>
  <c r="AG20" i="5"/>
  <c r="AD20" i="5"/>
  <c r="E19" i="5"/>
  <c r="AR19" i="5" s="1"/>
  <c r="AH13" i="5"/>
  <c r="C13" i="5"/>
  <c r="BN12" i="5"/>
  <c r="E12" i="5"/>
  <c r="AP12" i="5" s="1"/>
  <c r="BL12" i="5" s="1"/>
  <c r="E11" i="5"/>
  <c r="BQ10" i="5"/>
  <c r="BN10" i="5"/>
  <c r="BR10" i="5" s="1"/>
  <c r="E10" i="5"/>
  <c r="AP10" i="5" s="1"/>
  <c r="BQ9" i="5"/>
  <c r="AN9" i="5"/>
  <c r="BS9" i="5"/>
  <c r="E9" i="5"/>
  <c r="BO9" i="5" s="1"/>
  <c r="AN8" i="5"/>
  <c r="AP8" i="5" s="1"/>
  <c r="AE30" i="5" l="1"/>
  <c r="BA44" i="5"/>
  <c r="AE19" i="5"/>
  <c r="AE8" i="5"/>
  <c r="AI8" i="5" s="1"/>
  <c r="AM8" i="5" s="1"/>
  <c r="AS8" i="5" s="1"/>
  <c r="BO31" i="5"/>
  <c r="AL30" i="5"/>
  <c r="AV30" i="5"/>
  <c r="AU41" i="5"/>
  <c r="AU42" i="5"/>
  <c r="AR43" i="5"/>
  <c r="AU43" i="5"/>
  <c r="AP11" i="5"/>
  <c r="BL11" i="5" s="1"/>
  <c r="BO11" i="5"/>
  <c r="BN33" i="5"/>
  <c r="BO33" i="5" s="1"/>
  <c r="AI19" i="5"/>
  <c r="AM19" i="5" s="1"/>
  <c r="AS19" i="5" s="1"/>
  <c r="Z44" i="5"/>
  <c r="AC30" i="5"/>
  <c r="AJ29" i="5"/>
  <c r="Z35" i="5"/>
  <c r="AJ28" i="5"/>
  <c r="AK33" i="5"/>
  <c r="AF20" i="5"/>
  <c r="AI30" i="5"/>
  <c r="BB43" i="5"/>
  <c r="BL10" i="5"/>
  <c r="AF13" i="5"/>
  <c r="AG13" i="5"/>
  <c r="BS10" i="5"/>
  <c r="BO12" i="5"/>
  <c r="AN44" i="5"/>
  <c r="AP34" i="5"/>
  <c r="AE34" i="5" s="1"/>
  <c r="AD13" i="5"/>
  <c r="AG35" i="5"/>
  <c r="AI43" i="5"/>
  <c r="AS43" i="5" s="1"/>
  <c r="E13" i="5"/>
  <c r="AG44" i="5"/>
  <c r="AP9" i="5"/>
  <c r="AE9" i="5" s="1"/>
  <c r="AI9" i="5" s="1"/>
  <c r="Y13" i="5"/>
  <c r="AP32" i="5"/>
  <c r="AE32" i="5" s="1"/>
  <c r="AN13" i="5"/>
  <c r="E20" i="5"/>
  <c r="AN35" i="5"/>
  <c r="AP28" i="5"/>
  <c r="AP29" i="5"/>
  <c r="AE29" i="5" s="1"/>
  <c r="AN20" i="5"/>
  <c r="BO10" i="5"/>
  <c r="AP26" i="5"/>
  <c r="AE26" i="5" s="1"/>
  <c r="AR42" i="5"/>
  <c r="AI42" i="5"/>
  <c r="AS42" i="5" s="1"/>
  <c r="Y44" i="5"/>
  <c r="BB42" i="5"/>
  <c r="AF44" i="5"/>
  <c r="AH44" i="5"/>
  <c r="E44" i="5"/>
  <c r="AR41" i="5"/>
  <c r="AD44" i="5"/>
  <c r="E35" i="5"/>
  <c r="Y35" i="5"/>
  <c r="AH35" i="5"/>
  <c r="AF35" i="5"/>
  <c r="AD35" i="5"/>
  <c r="AZ41" i="5"/>
  <c r="AZ42" i="5"/>
  <c r="BL8" i="5"/>
  <c r="BM33" i="5" l="1"/>
  <c r="AE28" i="5"/>
  <c r="AE35" i="5" s="1"/>
  <c r="AL26" i="5"/>
  <c r="AS30" i="5"/>
  <c r="AW30" i="5" s="1"/>
  <c r="BL30" i="5" s="1"/>
  <c r="E27" i="3"/>
  <c r="AL29" i="5"/>
  <c r="AL32" i="5"/>
  <c r="AL34" i="5"/>
  <c r="BC30" i="5"/>
  <c r="BP30" i="5" s="1"/>
  <c r="BL26" i="5"/>
  <c r="BB41" i="5"/>
  <c r="BB44" i="5" s="1"/>
  <c r="AM43" i="5"/>
  <c r="AM42" i="5"/>
  <c r="AM9" i="5"/>
  <c r="AM13" i="5" s="1"/>
  <c r="E6" i="3" s="1"/>
  <c r="AP13" i="5"/>
  <c r="AM20" i="5"/>
  <c r="E21" i="3" s="1"/>
  <c r="AC28" i="5"/>
  <c r="AL28" i="5"/>
  <c r="AC26" i="5"/>
  <c r="AC32" i="5"/>
  <c r="AK30" i="5"/>
  <c r="AC34" i="5"/>
  <c r="AK28" i="5"/>
  <c r="BL34" i="5"/>
  <c r="BN34" i="5" s="1"/>
  <c r="BO34" i="5" s="1"/>
  <c r="AI34" i="5"/>
  <c r="AI32" i="5"/>
  <c r="BL28" i="5"/>
  <c r="BP28" i="5" s="1"/>
  <c r="BL32" i="5"/>
  <c r="BP32" i="5" s="1"/>
  <c r="AZ43" i="5"/>
  <c r="BR9" i="5"/>
  <c r="AK9" i="5"/>
  <c r="AK13" i="5" s="1"/>
  <c r="D6" i="3" s="1"/>
  <c r="D15" i="3" s="1"/>
  <c r="BL9" i="5"/>
  <c r="BM9" i="5" s="1"/>
  <c r="BL29" i="5"/>
  <c r="AP35" i="5"/>
  <c r="AR44" i="5"/>
  <c r="BN8" i="5"/>
  <c r="BM8" i="5"/>
  <c r="AP43" i="5"/>
  <c r="BN30" i="5" l="1"/>
  <c r="BM30" i="5" s="1"/>
  <c r="AL35" i="5"/>
  <c r="BO30" i="5"/>
  <c r="BP26" i="5"/>
  <c r="BN26" i="5"/>
  <c r="BO26" i="5" s="1"/>
  <c r="BM26" i="5"/>
  <c r="AV43" i="5"/>
  <c r="AW43" i="5" s="1"/>
  <c r="AP42" i="5"/>
  <c r="BN28" i="5"/>
  <c r="BO28" i="5" s="1"/>
  <c r="BN32" i="5"/>
  <c r="BO32" i="5" s="1"/>
  <c r="AB13" i="5"/>
  <c r="AC9" i="5"/>
  <c r="AC13" i="5" s="1"/>
  <c r="AK34" i="5"/>
  <c r="AK26" i="5"/>
  <c r="AK29" i="5"/>
  <c r="AC29" i="5"/>
  <c r="AC35" i="5" s="1"/>
  <c r="AI28" i="5"/>
  <c r="BR28" i="5" s="1"/>
  <c r="AI26" i="5"/>
  <c r="AI29" i="5"/>
  <c r="BP34" i="5"/>
  <c r="AK32" i="5"/>
  <c r="AK35" i="5" s="1"/>
  <c r="D25" i="3" s="1"/>
  <c r="AE13" i="5"/>
  <c r="AI13" i="5"/>
  <c r="AJ35" i="5"/>
  <c r="BL35" i="5"/>
  <c r="BM32" i="5"/>
  <c r="BM28" i="5"/>
  <c r="BS28" i="5"/>
  <c r="BL13" i="5"/>
  <c r="AB35" i="5"/>
  <c r="BP29" i="5"/>
  <c r="BN29" i="5"/>
  <c r="BM34" i="5"/>
  <c r="BN13" i="5"/>
  <c r="BO8" i="5"/>
  <c r="BP8" i="5"/>
  <c r="AC43" i="5"/>
  <c r="AK43" i="5" s="1"/>
  <c r="BM13" i="5" l="1"/>
  <c r="BP13" i="5"/>
  <c r="BV8" i="5"/>
  <c r="BL43" i="5"/>
  <c r="BC43" i="5"/>
  <c r="BP43" i="5" s="1"/>
  <c r="BY43" i="5" s="1"/>
  <c r="AC42" i="5"/>
  <c r="AK42" i="5" s="1"/>
  <c r="AV42" i="5"/>
  <c r="AW42" i="5" s="1"/>
  <c r="BN35" i="5"/>
  <c r="BM35" i="5" s="1"/>
  <c r="BP35" i="5"/>
  <c r="AI35" i="5"/>
  <c r="BM29" i="5"/>
  <c r="BR29" i="5"/>
  <c r="BS29" i="5"/>
  <c r="BO29" i="5"/>
  <c r="BL19" i="5"/>
  <c r="BL20" i="5" s="1"/>
  <c r="AP20" i="5"/>
  <c r="BL42" i="5" l="1"/>
  <c r="BC42" i="5"/>
  <c r="BP42" i="5" s="1"/>
  <c r="BY42" i="5" s="1"/>
  <c r="BN43" i="5"/>
  <c r="AC19" i="5"/>
  <c r="AB20" i="5"/>
  <c r="AE20" i="5"/>
  <c r="BN19" i="5"/>
  <c r="BM43" i="5" l="1"/>
  <c r="BV43" i="5"/>
  <c r="BS43" i="5"/>
  <c r="BO43" i="5"/>
  <c r="BR43" i="5"/>
  <c r="BN42" i="5"/>
  <c r="AK19" i="5"/>
  <c r="AK20" i="5" s="1"/>
  <c r="D21" i="3" s="1"/>
  <c r="AC20" i="5"/>
  <c r="AI20" i="5"/>
  <c r="BO19" i="5"/>
  <c r="BP19" i="5"/>
  <c r="BP20" i="5" s="1"/>
  <c r="BN20" i="5"/>
  <c r="BM19" i="5"/>
  <c r="BM42" i="5" l="1"/>
  <c r="BV42" i="5"/>
  <c r="BO42" i="5"/>
  <c r="BR42" i="5"/>
  <c r="BS42" i="5"/>
  <c r="BO20" i="5"/>
  <c r="BM20" i="5"/>
  <c r="AE44" i="5"/>
  <c r="AI41" i="5"/>
  <c r="AM41" i="5" l="1"/>
  <c r="AM44" i="5" s="1"/>
  <c r="E34" i="3" s="1"/>
  <c r="AI44" i="5"/>
  <c r="AS41" i="5"/>
  <c r="AS44" i="5" l="1"/>
  <c r="AP41" i="5"/>
  <c r="AP44" i="5" l="1"/>
  <c r="AV41" i="5"/>
  <c r="AV44" i="5" s="1"/>
  <c r="AB44" i="5" l="1"/>
  <c r="AC41" i="5"/>
  <c r="AW41" i="5"/>
  <c r="BL41" i="5" l="1"/>
  <c r="AW44" i="5"/>
  <c r="BC41" i="5"/>
  <c r="AK41" i="5"/>
  <c r="AK44" i="5" s="1"/>
  <c r="D34" i="3" s="1"/>
  <c r="D49" i="3" s="1"/>
  <c r="AC44" i="5"/>
  <c r="BN41" i="5" l="1"/>
  <c r="BP41" i="5"/>
  <c r="BC44" i="5"/>
  <c r="BL44" i="5"/>
  <c r="BM41" i="5"/>
  <c r="BL46" i="5" l="1"/>
  <c r="BP44" i="5"/>
  <c r="BY41" i="5"/>
  <c r="BV41" i="5"/>
  <c r="BO41" i="5"/>
  <c r="BS41" i="5"/>
  <c r="BN44" i="5"/>
  <c r="BM44" i="5" s="1"/>
  <c r="BR41" i="5"/>
</calcChain>
</file>

<file path=xl/sharedStrings.xml><?xml version="1.0" encoding="utf-8"?>
<sst xmlns="http://schemas.openxmlformats.org/spreadsheetml/2006/main" count="811" uniqueCount="270">
  <si>
    <t>(kW)</t>
  </si>
  <si>
    <t>Commentaires</t>
  </si>
  <si>
    <t>Puissance
chaud</t>
  </si>
  <si>
    <t>Taux de renouvellement d'air :
  - Apport d'air neuf : 2000 m3/h permanent
  - Extraction d'air : 2000 m3/h permanent
Température intérieure :
  - Consigne d'ambiance hiver : 21°C
  - Consigne d'ambiance été : maxi 28°C
Régulation et report d'alarmes (température, etc.)</t>
  </si>
  <si>
    <t>Taux de renouvellement d'air :
  - Apport d'air neuf : 2000 m3/h permanent
  - Extraction d'air : 2000 m3/h permanent
Température intérieure :
  - Consigne d'ambiance hiver / été : 21°C +/- 0,5°C
Régulation et report d'alarmes (température, etc.)</t>
  </si>
  <si>
    <t>Evacuation air chargé des fours
Gaine de tirage au vide</t>
  </si>
  <si>
    <t>Extraction d'air local 39440 de 45 m²
  - Pour le parc d'imprimantes 3D</t>
  </si>
  <si>
    <t>Pompe de relevage de la fosse</t>
  </si>
  <si>
    <t>Eau de refroidissement process :
  - 0 à 20 kW par zone labo
  - Pression : 6 bars maxi</t>
  </si>
  <si>
    <t>1 unité terminale type mural salle de commande :
  - Puissance chaud / froid : 3 kW</t>
  </si>
  <si>
    <t>Puissance
froid</t>
  </si>
  <si>
    <t>NC</t>
  </si>
  <si>
    <t>Ballon ECS</t>
  </si>
  <si>
    <t>Ballon ECS pour eau chaude lavabo</t>
  </si>
  <si>
    <r>
      <t>Echangeur eau / eau depuis groupe ILM :
  - Base de dimensionnement pour boucle d'eau de refroidissement à 250 l/min
  - Régime d'eau primaire 15/20°C considéré (</t>
    </r>
    <r>
      <rPr>
        <sz val="10"/>
        <color theme="1"/>
        <rFont val="Calibri"/>
        <family val="2"/>
      </rPr>
      <t>∆</t>
    </r>
    <r>
      <rPr>
        <sz val="10"/>
        <color theme="1"/>
        <rFont val="Calibri"/>
        <family val="2"/>
        <scheme val="minor"/>
      </rPr>
      <t>T de 5°C)
  - Régime d'eau secondaire 25/20°C considéré
Circulateur secondaire :
   - Débit pompe : environ 15 m3/h
   - Puissance élec considérée pompe : environ 3 kW</t>
    </r>
  </si>
  <si>
    <t>TOTAL IP2I</t>
  </si>
  <si>
    <t>TOTAL ILM</t>
  </si>
  <si>
    <t>Descriptif de l'équipement</t>
  </si>
  <si>
    <t>Taux de renouvellement d'air et brassage d'air :
  - Apport d'air neuf : 2,5 vol/h
  - Tout air neuf</t>
  </si>
  <si>
    <t>Température intérieure :
  - Consigne d'ambiance hiver / été labos : 21°C +/- 1°C
  - Consigne d'ambiance hiver / été cryo : 19°C / 25°C max</t>
  </si>
  <si>
    <t>Eau de refroidissement process (en local technique) :
  - 25 kW pour zone cryo
  - Pression : 6 bars maxi</t>
  </si>
  <si>
    <t>Zone local transfo</t>
  </si>
  <si>
    <t>Extraction d'air local 09_013 de 22,7 m²
  - Poste transfo</t>
  </si>
  <si>
    <t>Extracteur d'air pour local imprimante
  - Surface considérée du local : environ 23 m²
  - Base de dimensionnement : 2 vol/h pour le local, soit environ 150 m3/h</t>
  </si>
  <si>
    <t>Extracteur d'air pour local imprimante
  - Surface considérée du local : environ 45 m²
  - Base de dimensionnement : 2 vol/h pour le local, soit environ 225 m3/h</t>
  </si>
  <si>
    <t>Panoplie hydraulique ILM intégrée au groupe d'eau glacée (module hydraulique) :
  - Ballon tampon d'environ 500 litres avec épingle électrique secours 9 kW
  - Pompe de distribution : environ 4 kW</t>
  </si>
  <si>
    <t>Puissance
élec</t>
  </si>
  <si>
    <t>Taux de renouvellement d'air et brassage d'air :
  - Consigne d'ambiance hiver / été : 21°C +/- 1°C salle 1
  - Consigne d'ambiance hiver / été : 19 à 25°C salle 2,3, 4 et 5
  - Brassage d'air salle ISO 5 : 200 vol/h
  - Brassage d'air salle ISO 7 et sas : 30 vol/h
  - Cascade de pression entre locaux</t>
  </si>
  <si>
    <t>CTA 1</t>
  </si>
  <si>
    <t>CARACTERISTIQUES</t>
  </si>
  <si>
    <t>BILAN
STATIQUE</t>
  </si>
  <si>
    <t>CONDITIONS
D'AMBIANCE INTERIEURE</t>
  </si>
  <si>
    <t>EXTRACTIONS  
SPECIFIQUES</t>
  </si>
  <si>
    <t>PUISSANCE CHAUD / FROID</t>
  </si>
  <si>
    <t>CALCUL DEBIT AIR NEUF</t>
  </si>
  <si>
    <t>GRADIENT DE PRESSION</t>
  </si>
  <si>
    <t>INFILTRATIONS D'AIR</t>
  </si>
  <si>
    <t>DETERMINATION DES DEBITS, DONT SPECIFIQUE</t>
  </si>
  <si>
    <t>Eclairage</t>
  </si>
  <si>
    <t>FUMEES FOUR</t>
  </si>
  <si>
    <t>AIR NEUF</t>
  </si>
  <si>
    <t>SOUFFLAGE</t>
  </si>
  <si>
    <t>REPRISE</t>
  </si>
  <si>
    <t>Zone Four</t>
  </si>
  <si>
    <t>Surface</t>
  </si>
  <si>
    <t>Hauteur ss plafond</t>
  </si>
  <si>
    <t>Volume</t>
  </si>
  <si>
    <t>Classe
empous.</t>
  </si>
  <si>
    <t>Hiver
plancher sol</t>
  </si>
  <si>
    <t>Hiver
cloisons</t>
  </si>
  <si>
    <t>Eté
plancher sol</t>
  </si>
  <si>
    <t>Eté
cloisons</t>
  </si>
  <si>
    <t>Temp
Hiver</t>
  </si>
  <si>
    <t>Temp
Eté</t>
  </si>
  <si>
    <t>Occup</t>
  </si>
  <si>
    <t>HR</t>
  </si>
  <si>
    <t>Pression</t>
  </si>
  <si>
    <t>P. au m2</t>
  </si>
  <si>
    <t>Pertes
air neuf</t>
  </si>
  <si>
    <t>Total Pertes 
hiver</t>
  </si>
  <si>
    <t>Apports
air neuf</t>
  </si>
  <si>
    <t>Total Apports
sensibles</t>
  </si>
  <si>
    <t>Taux
brassage
mini</t>
  </si>
  <si>
    <t>Débit soufflé mini</t>
  </si>
  <si>
    <t>Débit air neuf personnes</t>
  </si>
  <si>
    <t>Taux air neuf mini</t>
  </si>
  <si>
    <t>Variation débit gradient pression</t>
  </si>
  <si>
    <t>Ecart variation débit</t>
  </si>
  <si>
    <t>Débit fuite ouverture</t>
  </si>
  <si>
    <t>Vitesse fuite ouverture</t>
  </si>
  <si>
    <t>Total débit infiltration</t>
  </si>
  <si>
    <t>Débit extraction spécifique</t>
  </si>
  <si>
    <t>Débit compens spécifique</t>
  </si>
  <si>
    <t>Débit air neuf mini</t>
  </si>
  <si>
    <t>Taux air neuf</t>
  </si>
  <si>
    <t>Débit soufflage</t>
  </si>
  <si>
    <t>Taux  Brassage</t>
  </si>
  <si>
    <t>Débit reprise</t>
  </si>
  <si>
    <t xml:space="preserve"> </t>
  </si>
  <si>
    <t>DESIGNATION</t>
  </si>
  <si>
    <r>
      <t>m</t>
    </r>
    <r>
      <rPr>
        <b/>
        <vertAlign val="superscript"/>
        <sz val="11"/>
        <rFont val="Calibri"/>
        <family val="2"/>
      </rPr>
      <t>2</t>
    </r>
  </si>
  <si>
    <t>m</t>
  </si>
  <si>
    <r>
      <t>m</t>
    </r>
    <r>
      <rPr>
        <b/>
        <vertAlign val="superscript"/>
        <sz val="11"/>
        <rFont val="Calibri"/>
        <family val="2"/>
      </rPr>
      <t>3</t>
    </r>
  </si>
  <si>
    <t>W</t>
  </si>
  <si>
    <t>°C</t>
  </si>
  <si>
    <t>Nb</t>
  </si>
  <si>
    <t>%</t>
  </si>
  <si>
    <t>Pa</t>
  </si>
  <si>
    <t>P. Dégag</t>
  </si>
  <si>
    <t>m3/h</t>
  </si>
  <si>
    <t>v/h</t>
  </si>
  <si>
    <t>m²</t>
  </si>
  <si>
    <t>m/s</t>
  </si>
  <si>
    <t>vol/h</t>
  </si>
  <si>
    <t>N°</t>
  </si>
  <si>
    <t>Espace four + circul</t>
  </si>
  <si>
    <t>50</t>
  </si>
  <si>
    <t xml:space="preserve">  </t>
  </si>
  <si>
    <t>Salle de commande</t>
  </si>
  <si>
    <t>via mural</t>
  </si>
  <si>
    <t>Salle stockage 1</t>
  </si>
  <si>
    <t>Salle stockage 2</t>
  </si>
  <si>
    <t>Sanitaires</t>
  </si>
  <si>
    <t>TOTAL</t>
  </si>
  <si>
    <t>CTA 2</t>
  </si>
  <si>
    <t>Zone Polisseuse</t>
  </si>
  <si>
    <t>HR
Max</t>
  </si>
  <si>
    <t>Salle polisseuse</t>
  </si>
  <si>
    <t>CTA 3</t>
  </si>
  <si>
    <t>SORBONNE</t>
  </si>
  <si>
    <t>Zone Labos &amp; Cryogénie autre</t>
  </si>
  <si>
    <t>via K7</t>
  </si>
  <si>
    <t>Cryo - Salle supervision</t>
  </si>
  <si>
    <t>Cryo - Local technique</t>
  </si>
  <si>
    <t>Cryo - Labo chimie</t>
  </si>
  <si>
    <t>CTA 4</t>
  </si>
  <si>
    <t>TEMPERATURES</t>
  </si>
  <si>
    <t>de  SOUFFLAGE</t>
  </si>
  <si>
    <t>Zone Cryogénie</t>
  </si>
  <si>
    <t>Occupants</t>
  </si>
  <si>
    <t>Débit soufflage maxi calculé</t>
  </si>
  <si>
    <t>Débit reprise
mini calculé</t>
  </si>
  <si>
    <t>Nb  Locaux</t>
  </si>
  <si>
    <t>Eté</t>
  </si>
  <si>
    <t>Hiver</t>
  </si>
  <si>
    <t>Soufflage</t>
  </si>
  <si>
    <t>Reprise</t>
  </si>
  <si>
    <t>Débit</t>
  </si>
  <si>
    <t>Type</t>
  </si>
  <si>
    <t>Salle détecteurs</t>
  </si>
  <si>
    <t>ISO 5</t>
  </si>
  <si>
    <t>Salle écrans cryogénique</t>
  </si>
  <si>
    <t>ISO 7</t>
  </si>
  <si>
    <t>Sas</t>
  </si>
  <si>
    <t>GFF SP 3.6</t>
  </si>
  <si>
    <t>Salle cryostats</t>
  </si>
  <si>
    <t>Salle activation détecteurs</t>
  </si>
  <si>
    <t>Zone imprimante</t>
  </si>
  <si>
    <t>Extracteurs d'air pollué de 200 m3/h
  - rejet DN100 connecté au four
  - gaine de tirage avec disque rupture</t>
  </si>
  <si>
    <t>Ancienne zone cryogénie conservée au sous-sol</t>
  </si>
  <si>
    <t>Part de puissance de l'ancienne zone cryogénie</t>
  </si>
  <si>
    <r>
      <t>Alimentation depuis échangeur eau / eau en local technique IP2I :
  - Base de dimensionnement pour boucle d'eau de refroidissement : 25kW
  - Régime d'eau 15/20°C considéré (</t>
    </r>
    <r>
      <rPr>
        <sz val="10"/>
        <color theme="1"/>
        <rFont val="Calibri"/>
        <family val="2"/>
      </rPr>
      <t>∆</t>
    </r>
    <r>
      <rPr>
        <sz val="10"/>
        <color theme="1"/>
        <rFont val="Calibri"/>
        <family val="2"/>
        <scheme val="minor"/>
      </rPr>
      <t>T de 5°C)</t>
    </r>
  </si>
  <si>
    <t>Sanibroyeur WC</t>
  </si>
  <si>
    <t>(A)</t>
  </si>
  <si>
    <t>Eau de refroidissement process :
  - 138 l/min à température entre 18 et 25°C
  - Pression : 2,5 min et 7 bars max</t>
  </si>
  <si>
    <t>Groupe froid</t>
  </si>
  <si>
    <t>Sécheur d'air comprimé</t>
  </si>
  <si>
    <t>Groupe froid IP2I</t>
  </si>
  <si>
    <t>On considère un dégagement calorifique de 2,5 kW dans la salle de commande.</t>
  </si>
  <si>
    <t>Alim unité murale</t>
  </si>
  <si>
    <t>MONO 230V</t>
  </si>
  <si>
    <t>Alim bâche à eau</t>
  </si>
  <si>
    <t>MONO 230V
0,2A</t>
  </si>
  <si>
    <t>TRI 400V
10A</t>
  </si>
  <si>
    <t>Skid supprimé car échangeur déjà présent sur la bâche à eau
Puissance élec suivant fichier powerpoint</t>
  </si>
  <si>
    <t>Alim pompe de relevage</t>
  </si>
  <si>
    <t>Détails élec</t>
  </si>
  <si>
    <t>Alim sécheur à adsorption</t>
  </si>
  <si>
    <t>Sanibroyeur avec pompe relevage intégrée</t>
  </si>
  <si>
    <t>Pompe de relevage fosse du four</t>
  </si>
  <si>
    <t>Alim sanibroyeur</t>
  </si>
  <si>
    <t>Alim ballon ECS</t>
  </si>
  <si>
    <t>Alim groupe eau glacée ILM</t>
  </si>
  <si>
    <t>Sécheur d'air avec filtration étages de filtration intégrés</t>
  </si>
  <si>
    <t>Compensation des sorbonnes :
  - 3 sorbonnes 800 m3/h pour les labos
  - 1 sorbonne 1000 m3/h pour labo chimie cryo
  - 1 armoire ventilées 100 m3/h</t>
  </si>
  <si>
    <t>Alim GMV + batterie élec</t>
  </si>
  <si>
    <t>Alim extracteur</t>
  </si>
  <si>
    <t>Alim extracteur air chaud
du four</t>
  </si>
  <si>
    <t xml:space="preserve">Alim extracteur air </t>
  </si>
  <si>
    <t>Emetteurs terminaux type ventilo-convecteurs gainables par pièce
  - Type 2 tubes eau glacée rafraichissement / 2 fils pour chauffage
  - 4 cassettes pour labo 1
  - 2 cassettes pour labo et manip cryo
  - 1 mural pour local technique cryo
  - 6 cassettes pour futur labo 2 et 3</t>
  </si>
  <si>
    <t>Alim unités intérieures</t>
  </si>
  <si>
    <t>13 x MONO 230V</t>
  </si>
  <si>
    <t>13 unités
Compris puissance en réserve des zones de labos 2 et 3</t>
  </si>
  <si>
    <t>Voir sous-station eau glacée</t>
  </si>
  <si>
    <r>
      <t>Echangeur eau / eau depuis groupe IP2I :
  - Base de dimensionnement pour boucle d'eau de refroidissement : 20kW par labo étage
  - Régime d'eau primaire 15/20°C considéré (</t>
    </r>
    <r>
      <rPr>
        <sz val="10"/>
        <color theme="1"/>
        <rFont val="Calibri"/>
        <family val="2"/>
      </rPr>
      <t>∆</t>
    </r>
    <r>
      <rPr>
        <sz val="10"/>
        <color theme="1"/>
        <rFont val="Calibri"/>
        <family val="2"/>
        <scheme val="minor"/>
      </rPr>
      <t>T de 5°C)
  - Régime d'eau secondaire 25/20°C considéré</t>
    </r>
  </si>
  <si>
    <t>Circuit eau glacée "confort" en sous-station</t>
  </si>
  <si>
    <t>Circuit eau glacée "process" en sous-station</t>
  </si>
  <si>
    <t>Alim groupe eau glacée IP2I</t>
  </si>
  <si>
    <t>Epingle élec ballon non comptabilisée dans le bilan élec</t>
  </si>
  <si>
    <t>Panoplie hydraulique primaire IP2I en sous-station :
  - Ballon tampon d'environ 750 litres, avec épingle électrique secours 15kW
  - Pompe de distribution primaire compris "confort" : environ 3 kW</t>
  </si>
  <si>
    <t>Alim circuit eau glacée "process" IP2I</t>
  </si>
  <si>
    <t>Alim circuit eau glacée "confort" IP2I</t>
  </si>
  <si>
    <t>Panoplie hydraulique IP2I en sous-station :
  - Skid découplage hydraulique
  - Pompe de distribution : environ 3 kW</t>
  </si>
  <si>
    <t>Pompe de relevage fosse sous zone polisseuse</t>
  </si>
  <si>
    <t>Groupe froid extérieur</t>
  </si>
  <si>
    <t>Zone sous-station eau glacée</t>
  </si>
  <si>
    <t>Batterie en gaine pour zone salle cryostat, activation détecteurs</t>
  </si>
  <si>
    <t>Alim batterie élec zone cryostat</t>
  </si>
  <si>
    <t>Ballon ECS pour eau chaude lavabo labo chimie</t>
  </si>
  <si>
    <t>Apports
éclairage</t>
  </si>
  <si>
    <t>R+1 Labo 1-1</t>
  </si>
  <si>
    <t>R+1 Labo 1-2</t>
  </si>
  <si>
    <t>R+1 Labo 2 (livré vide)</t>
  </si>
  <si>
    <t>R+1 Labo 3 (livré vide)</t>
  </si>
  <si>
    <t>51</t>
  </si>
  <si>
    <t>Apports
transmission et solaire</t>
  </si>
  <si>
    <t>Poste informatique
(150W/u)</t>
  </si>
  <si>
    <r>
      <t xml:space="preserve">Armoire 
ventilée
</t>
    </r>
    <r>
      <rPr>
        <sz val="11"/>
        <rFont val="Calibri"/>
        <family val="2"/>
      </rPr>
      <t>100 m3/h</t>
    </r>
  </si>
  <si>
    <r>
      <t xml:space="preserve">Sorbonne
</t>
    </r>
    <r>
      <rPr>
        <sz val="11"/>
        <rFont val="Calibri"/>
        <family val="2"/>
      </rPr>
      <t>1000 m3/h</t>
    </r>
  </si>
  <si>
    <r>
      <t xml:space="preserve">Sorbonne
</t>
    </r>
    <r>
      <rPr>
        <sz val="11"/>
        <rFont val="Calibri"/>
        <family val="2"/>
      </rPr>
      <t>800 m3/h</t>
    </r>
  </si>
  <si>
    <t>APPORTS INTERNES</t>
  </si>
  <si>
    <t>W/m²</t>
  </si>
  <si>
    <t>Apports
machines</t>
  </si>
  <si>
    <t>Apports
personne</t>
  </si>
  <si>
    <t>Pertes
conduction</t>
  </si>
  <si>
    <t>DEPERDITIONS ET APPORTS</t>
  </si>
  <si>
    <t>Apports internes machines</t>
  </si>
  <si>
    <t>Pchaud traité par CTA</t>
  </si>
  <si>
    <t>Pchaud traité par émetteur</t>
  </si>
  <si>
    <t>Pfroid traité par émetteur</t>
  </si>
  <si>
    <t>Pfroid traité par CTA</t>
  </si>
  <si>
    <t>Pertes
infiltrations</t>
  </si>
  <si>
    <t>Surpuissance relance</t>
  </si>
  <si>
    <t>Autres machines</t>
  </si>
  <si>
    <t>Polisseuse
(fiche technique)</t>
  </si>
  <si>
    <t>Débit mini à souffler à Tsf 16°C</t>
  </si>
  <si>
    <t>Débit mini à souffler à Tsf 18°C</t>
  </si>
  <si>
    <t>Four</t>
  </si>
  <si>
    <t>Autres machines :
- baie VDI salle commande : 2000W</t>
  </si>
  <si>
    <t>Fumées four</t>
  </si>
  <si>
    <t>Forfait 10W/m² divers</t>
  </si>
  <si>
    <t>Poste informatique
(200W/u)</t>
  </si>
  <si>
    <t>Sorbonne et armoire ventilée
(300W/u)</t>
  </si>
  <si>
    <t>Débit brassage mini</t>
  </si>
  <si>
    <t>Nouveau débit air neuf retenu</t>
  </si>
  <si>
    <t>Ecart variation débit d'air neuf</t>
  </si>
  <si>
    <t>Section passage vers local adjacent en dépression</t>
  </si>
  <si>
    <t>Débit air neuf retenu</t>
  </si>
  <si>
    <t>Débit d'infiltration extérieur
(0,5 vol/h)</t>
  </si>
  <si>
    <t>Débit reprise maxi</t>
  </si>
  <si>
    <t>CALCUL DEBIT SOUFFLAGE
EN RAFRAICHISSEMENT</t>
  </si>
  <si>
    <t>Plafond filtrant BVX3</t>
  </si>
  <si>
    <t>GFF SP 5.9</t>
  </si>
  <si>
    <t>Diffuse box 3</t>
  </si>
  <si>
    <t>GFF SP 4.4</t>
  </si>
  <si>
    <t>Débit d'infiltration extérieur
(0,25 vol/h)</t>
  </si>
  <si>
    <t>Centrale d'insufflation air neuf pour compensation sorbonnes 3150 m3/h - CTA5
  - Débit extrait nominal : 3500 m3/h
  - Batterie chaude electrique
  - Batterie froide eau glacée (régime 7/12°C)
  - Registre à débit variable pour les antennes de compensation des sorbonnes
  - Soufflage hygiénique de la centrale à température neutre hiver et été</t>
  </si>
  <si>
    <t>Dessicateur
(400W/u)</t>
  </si>
  <si>
    <t>Micro-manipulateur / Micro-soudeuse
(1000W/u)</t>
  </si>
  <si>
    <t>Autres machines :
- cryostat : 500W
- baie VDI, pompes LT cryo : 5000W</t>
  </si>
  <si>
    <t>TRI 400V
13A</t>
  </si>
  <si>
    <t>TRI 400V
9,4A</t>
  </si>
  <si>
    <r>
      <t xml:space="preserve">Centrale de traitement d'air 2500 m3/h - CTA 2
  - Amenée d'air neuf avec registre motorisé, tout air neuf
  - Récupération d'énergie à roue, efficacité 75% mini
  - Batterie chaude electrique
  - Batterie froide eau glacée (régime 7/12°C)
  - Base de dimensionnement ventilation : </t>
    </r>
    <r>
      <rPr>
        <b/>
        <sz val="10"/>
        <color theme="1"/>
        <rFont val="Calibri"/>
        <family val="2"/>
        <scheme val="minor"/>
      </rPr>
      <t xml:space="preserve">16 volume/heure
</t>
    </r>
    <r>
      <rPr>
        <sz val="10"/>
        <color theme="1"/>
        <rFont val="Calibri"/>
        <family val="2"/>
        <scheme val="minor"/>
      </rPr>
      <t xml:space="preserve">  - Débit variable, ventilation permanente
  - Soufflage pour traitement d'air du local avec deltaT
Panneau de commande annexé à la centrale d'air et communicant :
  - Régulation avec sonde d'ambiance
  - Report d'alarmes : filtres, antigel, température, débit</t>
    </r>
  </si>
  <si>
    <t>Alim CTA + roue</t>
  </si>
  <si>
    <t>Alim CTA</t>
  </si>
  <si>
    <t>Alim batterie élec chaud</t>
  </si>
  <si>
    <t>TRI 400V
2A</t>
  </si>
  <si>
    <t>Centrale de traitement d'air hygiénique 2050 m3/h - CTA 1 compacte sortie sur dessus
  - Amenée d'air neuf, tout air neuf
  - Récupération d'énergie à plaques, efficacité 80% mini
  - Batterie électrique préchauffage
  - Batterie électrique post-chauffage pour maintien ambiance à 19°C, traitement avec Delta
  - Batterie froide eau glacée en gaine (régime 7/12°C)
  - Débit constant, ventilation permanente
  - Soufflage pour traitement d'air du local avec deltaT
Panneau de commande annexé à la centrale d'air et communicant :
  - Régulation avec sonde d'ambiance
  - Report d'alarmes : filtres, antigel, température, débit</t>
  </si>
  <si>
    <t>TRI 400V
19,4A</t>
  </si>
  <si>
    <t>Alim CTA + batterie elec + roue</t>
  </si>
  <si>
    <t>TRI 400V
17,4A</t>
  </si>
  <si>
    <t>dont batterie élec max 10,7 kW</t>
  </si>
  <si>
    <t>MONO/TRI
Imax</t>
  </si>
  <si>
    <t>Zone cryo RDC &amp; labo R+1 (diamant)</t>
  </si>
  <si>
    <t>Zone polisseur RDC (diamant)</t>
  </si>
  <si>
    <t>Zone implanteur (saphir)</t>
  </si>
  <si>
    <t>Zone cryo RDC spécifique (diamant)</t>
  </si>
  <si>
    <t>MONO 230V
13,2A</t>
  </si>
  <si>
    <t>Extracteur d'air 3900 m3/h pour rejet d'air</t>
  </si>
  <si>
    <t>MONO 230V
4,5A</t>
  </si>
  <si>
    <t>MONO 230V
3,93A</t>
  </si>
  <si>
    <t>TRI 400V
13,5A</t>
  </si>
  <si>
    <r>
      <rPr>
        <sz val="10"/>
        <color rgb="FFFF0000"/>
        <rFont val="Calibri"/>
        <family val="2"/>
        <scheme val="minor"/>
      </rPr>
      <t>Prise en compte foisonnement à 70% pour calcul puissance car simultanéité des sorbonnes</t>
    </r>
    <r>
      <rPr>
        <sz val="10"/>
        <rFont val="Calibri"/>
        <family val="2"/>
        <scheme val="minor"/>
      </rPr>
      <t xml:space="preserve">
En hiver, la batterie chaude du caisson d'insufflation traitera les déperditions par l'air.
En été, la batterie froide externe en gaine traitera les apports par l'air.</t>
    </r>
  </si>
  <si>
    <t>TRI 400V
39A maxi
24A nominal</t>
  </si>
  <si>
    <t>Batterie électrique et eau glacée en gaine pour gestion température</t>
  </si>
  <si>
    <t>Centrale de traitement d'air hygiénique 3690 m3/h - CTA 3
  - Amenée d'air neuf avec registre motorisé, tout air neuf
  - Récupération d'énergie à roue, efficacité 75% mini
  - Débit variable et registre par zone
  - Batterie chaude electrique
  - Batterie froide eau glacée (régime 7/12°C)
  - Soufflage hygiénique de la centrale à température neutre hiver et été</t>
  </si>
  <si>
    <t>Total puissance froid</t>
  </si>
  <si>
    <t>TRI 400V
42A nominal
63A maxi</t>
  </si>
  <si>
    <t>TRI 400V
102A nominal
143A maxi</t>
  </si>
  <si>
    <t>Centrale de traitement d'air salle propre 5500 m3/h avec 30% d'air neuf  - CTA 4 :
  - Base de dimensionnement : voir tableau spécifique
  - Débit variable, ventilation permanente
  - Filtration spécifique en centrale H14 et terminal pour salles ISO
  - Batterie chaude electrique
  - Batterie froide eau glacée (régime 7/12°C)
  - Boite à débit variable par pièce
Panneau de commande annexé à la centrale d'air et communicant :
  - Régulation avec sonde d'ambiance
  - Report d'alarmes : filtres, antigel, température, débit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</si>
</sst>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000"/>
    <numFmt numFmtId="166" formatCode="#,##0.00&quot; &quot;"/>
    <numFmt numFmtId="167" formatCode="#,##0&quot; &quot;"/>
    <numFmt numFmtId="168" formatCode="#,##0.0"/>
    <numFmt numFmtId="169" formatCode="#,##0.0&quot; &quot;"/>
    <numFmt numFmtId="170" formatCode="0.000"/>
  </numFmts>
  <fonts count="4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b/>
      <sz val="12"/>
      <name val="Calibri"/>
      <family val="2"/>
    </font>
    <font>
      <b/>
      <sz val="14"/>
      <name val="Calibri"/>
      <family val="2"/>
    </font>
    <font>
      <sz val="14"/>
      <name val="Calibri"/>
      <family val="2"/>
    </font>
    <font>
      <sz val="12"/>
      <name val="Calibri"/>
      <family val="2"/>
    </font>
    <font>
      <b/>
      <sz val="22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vertAlign val="superscript"/>
      <sz val="11"/>
      <name val="Calibri"/>
      <family val="2"/>
    </font>
    <font>
      <sz val="12"/>
      <color rgb="FFFF0000"/>
      <name val="Calibri"/>
      <family val="2"/>
    </font>
    <font>
      <b/>
      <i/>
      <sz val="12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</font>
    <font>
      <sz val="12"/>
      <color theme="8" tint="-0.249977111117893"/>
      <name val="Calibri"/>
      <family val="2"/>
    </font>
    <font>
      <b/>
      <sz val="12"/>
      <color theme="8" tint="-0.249977111117893"/>
      <name val="Calibri"/>
      <family val="2"/>
    </font>
  </fonts>
  <fills count="4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1E1FF"/>
        <bgColor indexed="64"/>
      </patternFill>
    </fill>
  </fills>
  <borders count="1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1" fillId="0" borderId="0" applyNumberFormat="0" applyFill="0" applyBorder="0" applyAlignment="0" applyProtection="0"/>
    <xf numFmtId="0" fontId="22" fillId="0" borderId="102" applyNumberFormat="0" applyFill="0" applyAlignment="0" applyProtection="0"/>
    <xf numFmtId="0" fontId="23" fillId="0" borderId="103" applyNumberFormat="0" applyFill="0" applyAlignment="0" applyProtection="0"/>
    <xf numFmtId="0" fontId="24" fillId="0" borderId="104" applyNumberFormat="0" applyFill="0" applyAlignment="0" applyProtection="0"/>
    <xf numFmtId="0" fontId="24" fillId="0" borderId="0" applyNumberFormat="0" applyFill="0" applyBorder="0" applyAlignment="0" applyProtection="0"/>
    <xf numFmtId="0" fontId="25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6" borderId="105" applyNumberFormat="0" applyAlignment="0" applyProtection="0"/>
    <xf numFmtId="0" fontId="29" fillId="17" borderId="106" applyNumberFormat="0" applyAlignment="0" applyProtection="0"/>
    <xf numFmtId="0" fontId="30" fillId="17" borderId="105" applyNumberFormat="0" applyAlignment="0" applyProtection="0"/>
    <xf numFmtId="0" fontId="31" fillId="0" borderId="107" applyNumberFormat="0" applyFill="0" applyAlignment="0" applyProtection="0"/>
    <xf numFmtId="0" fontId="32" fillId="18" borderId="108" applyNumberFormat="0" applyAlignment="0" applyProtection="0"/>
    <xf numFmtId="0" fontId="18" fillId="0" borderId="0" applyNumberFormat="0" applyFill="0" applyBorder="0" applyAlignment="0" applyProtection="0"/>
    <xf numFmtId="0" fontId="20" fillId="19" borderId="109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110" applyNumberFormat="0" applyFill="0" applyAlignment="0" applyProtection="0"/>
    <xf numFmtId="0" fontId="3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3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3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35" fillId="32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35" fillId="36" borderId="0" applyNumberFormat="0" applyBorder="0" applyAlignment="0" applyProtection="0"/>
    <xf numFmtId="0" fontId="20" fillId="37" borderId="0" applyNumberFormat="0" applyBorder="0" applyAlignment="0" applyProtection="0"/>
    <xf numFmtId="0" fontId="20" fillId="38" borderId="0" applyNumberFormat="0" applyBorder="0" applyAlignment="0" applyProtection="0"/>
    <xf numFmtId="0" fontId="20" fillId="39" borderId="0" applyNumberFormat="0" applyBorder="0" applyAlignment="0" applyProtection="0"/>
    <xf numFmtId="0" fontId="35" fillId="40" borderId="0" applyNumberFormat="0" applyBorder="0" applyAlignment="0" applyProtection="0"/>
    <xf numFmtId="0" fontId="20" fillId="41" borderId="0" applyNumberFormat="0" applyBorder="0" applyAlignment="0" applyProtection="0"/>
    <xf numFmtId="0" fontId="20" fillId="42" borderId="0" applyNumberFormat="0" applyBorder="0" applyAlignment="0" applyProtection="0"/>
    <xf numFmtId="0" fontId="20" fillId="43" borderId="0" applyNumberFormat="0" applyBorder="0" applyAlignment="0" applyProtection="0"/>
  </cellStyleXfs>
  <cellXfs count="47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/>
    </xf>
    <xf numFmtId="2" fontId="1" fillId="4" borderId="1" xfId="0" applyNumberFormat="1" applyFont="1" applyFill="1" applyBorder="1" applyAlignment="1">
      <alignment horizontal="left" wrapText="1"/>
    </xf>
    <xf numFmtId="2" fontId="4" fillId="0" borderId="1" xfId="0" applyNumberFormat="1" applyFont="1" applyBorder="1" applyAlignment="1">
      <alignment horizontal="left" vertical="center" wrapText="1"/>
    </xf>
    <xf numFmtId="3" fontId="6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167" fontId="7" fillId="0" borderId="0" xfId="0" applyNumberFormat="1" applyFont="1" applyAlignment="1">
      <alignment horizontal="center" vertical="center"/>
    </xf>
    <xf numFmtId="3" fontId="6" fillId="5" borderId="0" xfId="0" applyNumberFormat="1" applyFont="1" applyFill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8" fontId="9" fillId="0" borderId="0" xfId="0" applyNumberFormat="1" applyFont="1" applyAlignment="1">
      <alignment horizontal="center" vertical="center"/>
    </xf>
    <xf numFmtId="166" fontId="7" fillId="0" borderId="0" xfId="0" applyNumberFormat="1" applyFont="1" applyAlignment="1">
      <alignment vertical="center"/>
    </xf>
    <xf numFmtId="167" fontId="7" fillId="0" borderId="0" xfId="0" applyNumberFormat="1" applyFont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3" fontId="6" fillId="6" borderId="24" xfId="0" applyNumberFormat="1" applyFont="1" applyFill="1" applyBorder="1" applyAlignment="1">
      <alignment vertical="center" wrapText="1"/>
    </xf>
    <xf numFmtId="0" fontId="10" fillId="6" borderId="25" xfId="0" applyFont="1" applyFill="1" applyBorder="1" applyAlignment="1">
      <alignment horizontal="center" vertical="center" wrapText="1"/>
    </xf>
    <xf numFmtId="166" fontId="11" fillId="6" borderId="26" xfId="0" applyNumberFormat="1" applyFont="1" applyFill="1" applyBorder="1" applyAlignment="1">
      <alignment horizontal="center" vertical="center" textRotation="90"/>
    </xf>
    <xf numFmtId="4" fontId="11" fillId="6" borderId="3" xfId="0" applyNumberFormat="1" applyFont="1" applyFill="1" applyBorder="1" applyAlignment="1">
      <alignment horizontal="center" vertical="center" textRotation="90" wrapText="1"/>
    </xf>
    <xf numFmtId="167" fontId="11" fillId="6" borderId="27" xfId="0" applyNumberFormat="1" applyFont="1" applyFill="1" applyBorder="1" applyAlignment="1">
      <alignment horizontal="center" vertical="center" textRotation="90"/>
    </xf>
    <xf numFmtId="0" fontId="11" fillId="6" borderId="24" xfId="0" applyFont="1" applyFill="1" applyBorder="1" applyAlignment="1">
      <alignment horizontal="center" vertical="center" textRotation="90" wrapText="1"/>
    </xf>
    <xf numFmtId="3" fontId="11" fillId="5" borderId="18" xfId="0" applyNumberFormat="1" applyFont="1" applyFill="1" applyBorder="1" applyAlignment="1">
      <alignment horizontal="center" vertical="center" textRotation="90" wrapText="1"/>
    </xf>
    <xf numFmtId="3" fontId="11" fillId="5" borderId="28" xfId="0" applyNumberFormat="1" applyFont="1" applyFill="1" applyBorder="1" applyAlignment="1">
      <alignment horizontal="center" vertical="center" textRotation="90" wrapText="1"/>
    </xf>
    <xf numFmtId="3" fontId="11" fillId="5" borderId="29" xfId="0" applyNumberFormat="1" applyFont="1" applyFill="1" applyBorder="1" applyAlignment="1">
      <alignment horizontal="center" vertical="center" textRotation="90" wrapText="1"/>
    </xf>
    <xf numFmtId="3" fontId="11" fillId="5" borderId="30" xfId="0" applyNumberFormat="1" applyFont="1" applyFill="1" applyBorder="1" applyAlignment="1">
      <alignment horizontal="center" vertical="center" textRotation="90" wrapText="1"/>
    </xf>
    <xf numFmtId="3" fontId="11" fillId="6" borderId="31" xfId="0" applyNumberFormat="1" applyFont="1" applyFill="1" applyBorder="1" applyAlignment="1">
      <alignment horizontal="center" vertical="center" wrapText="1"/>
    </xf>
    <xf numFmtId="3" fontId="11" fillId="6" borderId="29" xfId="0" applyNumberFormat="1" applyFont="1" applyFill="1" applyBorder="1" applyAlignment="1">
      <alignment horizontal="center" vertical="center" wrapText="1"/>
    </xf>
    <xf numFmtId="166" fontId="11" fillId="6" borderId="28" xfId="0" applyNumberFormat="1" applyFont="1" applyFill="1" applyBorder="1" applyAlignment="1">
      <alignment horizontal="center" vertical="center" textRotation="90"/>
    </xf>
    <xf numFmtId="0" fontId="11" fillId="6" borderId="22" xfId="0" applyFont="1" applyFill="1" applyBorder="1" applyAlignment="1">
      <alignment horizontal="center" vertical="center" wrapText="1"/>
    </xf>
    <xf numFmtId="0" fontId="11" fillId="6" borderId="32" xfId="0" applyFont="1" applyFill="1" applyBorder="1" applyAlignment="1">
      <alignment horizontal="center" vertical="center" textRotation="90" wrapText="1"/>
    </xf>
    <xf numFmtId="3" fontId="11" fillId="3" borderId="28" xfId="0" applyNumberFormat="1" applyFont="1" applyFill="1" applyBorder="1" applyAlignment="1">
      <alignment horizontal="center" vertical="center" wrapText="1"/>
    </xf>
    <xf numFmtId="3" fontId="11" fillId="3" borderId="23" xfId="0" applyNumberFormat="1" applyFont="1" applyFill="1" applyBorder="1" applyAlignment="1">
      <alignment horizontal="center" vertical="center" wrapText="1"/>
    </xf>
    <xf numFmtId="0" fontId="11" fillId="8" borderId="34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3" fontId="11" fillId="8" borderId="24" xfId="0" applyNumberFormat="1" applyFont="1" applyFill="1" applyBorder="1" applyAlignment="1">
      <alignment horizontal="center" vertical="center" wrapText="1"/>
    </xf>
    <xf numFmtId="3" fontId="11" fillId="9" borderId="24" xfId="0" applyNumberFormat="1" applyFont="1" applyFill="1" applyBorder="1" applyAlignment="1">
      <alignment horizontal="center" vertical="center" wrapText="1"/>
    </xf>
    <xf numFmtId="0" fontId="11" fillId="10" borderId="34" xfId="0" applyFont="1" applyFill="1" applyBorder="1" applyAlignment="1">
      <alignment horizontal="center" vertical="center" textRotation="90" wrapText="1"/>
    </xf>
    <xf numFmtId="3" fontId="11" fillId="10" borderId="1" xfId="0" applyNumberFormat="1" applyFont="1" applyFill="1" applyBorder="1" applyAlignment="1">
      <alignment horizontal="center" vertical="center" wrapText="1"/>
    </xf>
    <xf numFmtId="3" fontId="11" fillId="11" borderId="33" xfId="0" applyNumberFormat="1" applyFont="1" applyFill="1" applyBorder="1" applyAlignment="1">
      <alignment horizontal="center" vertical="center" wrapText="1"/>
    </xf>
    <xf numFmtId="3" fontId="11" fillId="11" borderId="28" xfId="0" applyNumberFormat="1" applyFont="1" applyFill="1" applyBorder="1" applyAlignment="1">
      <alignment horizontal="center" vertical="center" wrapText="1"/>
    </xf>
    <xf numFmtId="3" fontId="11" fillId="9" borderId="34" xfId="0" applyNumberFormat="1" applyFont="1" applyFill="1" applyBorder="1" applyAlignment="1">
      <alignment horizontal="center" vertical="center" wrapText="1"/>
    </xf>
    <xf numFmtId="3" fontId="11" fillId="9" borderId="5" xfId="0" applyNumberFormat="1" applyFont="1" applyFill="1" applyBorder="1" applyAlignment="1">
      <alignment horizontal="center" vertical="center" wrapText="1"/>
    </xf>
    <xf numFmtId="3" fontId="11" fillId="9" borderId="1" xfId="0" applyNumberFormat="1" applyFont="1" applyFill="1" applyBorder="1" applyAlignment="1">
      <alignment horizontal="center" vertical="center" wrapText="1"/>
    </xf>
    <xf numFmtId="0" fontId="11" fillId="9" borderId="5" xfId="0" applyFont="1" applyFill="1" applyBorder="1" applyAlignment="1">
      <alignment horizontal="center" vertical="center" textRotation="90" wrapText="1"/>
    </xf>
    <xf numFmtId="0" fontId="11" fillId="9" borderId="1" xfId="0" applyFont="1" applyFill="1" applyBorder="1" applyAlignment="1">
      <alignment horizontal="center" vertical="center" textRotation="90" wrapText="1"/>
    </xf>
    <xf numFmtId="0" fontId="11" fillId="0" borderId="0" xfId="0" applyFont="1" applyAlignment="1">
      <alignment horizontal="center" vertical="center"/>
    </xf>
    <xf numFmtId="0" fontId="11" fillId="6" borderId="35" xfId="0" applyFont="1" applyFill="1" applyBorder="1" applyAlignment="1">
      <alignment horizontal="center" vertical="center"/>
    </xf>
    <xf numFmtId="166" fontId="11" fillId="6" borderId="36" xfId="0" applyNumberFormat="1" applyFont="1" applyFill="1" applyBorder="1" applyAlignment="1">
      <alignment horizontal="center" vertical="center"/>
    </xf>
    <xf numFmtId="4" fontId="11" fillId="6" borderId="37" xfId="0" applyNumberFormat="1" applyFont="1" applyFill="1" applyBorder="1" applyAlignment="1">
      <alignment horizontal="center" vertical="center"/>
    </xf>
    <xf numFmtId="167" fontId="11" fillId="6" borderId="38" xfId="0" applyNumberFormat="1" applyFont="1" applyFill="1" applyBorder="1" applyAlignment="1">
      <alignment horizontal="center" vertical="center"/>
    </xf>
    <xf numFmtId="167" fontId="11" fillId="6" borderId="39" xfId="0" applyNumberFormat="1" applyFont="1" applyFill="1" applyBorder="1" applyAlignment="1">
      <alignment horizontal="center" vertical="center"/>
    </xf>
    <xf numFmtId="3" fontId="11" fillId="5" borderId="40" xfId="0" applyNumberFormat="1" applyFont="1" applyFill="1" applyBorder="1" applyAlignment="1">
      <alignment horizontal="center" vertical="center"/>
    </xf>
    <xf numFmtId="3" fontId="11" fillId="5" borderId="41" xfId="0" applyNumberFormat="1" applyFont="1" applyFill="1" applyBorder="1" applyAlignment="1">
      <alignment horizontal="center" vertical="center"/>
    </xf>
    <xf numFmtId="3" fontId="11" fillId="5" borderId="42" xfId="0" applyNumberFormat="1" applyFont="1" applyFill="1" applyBorder="1" applyAlignment="1">
      <alignment horizontal="center" vertical="center"/>
    </xf>
    <xf numFmtId="3" fontId="11" fillId="5" borderId="43" xfId="0" applyNumberFormat="1" applyFont="1" applyFill="1" applyBorder="1" applyAlignment="1">
      <alignment horizontal="center" vertical="center"/>
    </xf>
    <xf numFmtId="3" fontId="11" fillId="6" borderId="40" xfId="0" applyNumberFormat="1" applyFont="1" applyFill="1" applyBorder="1" applyAlignment="1">
      <alignment horizontal="center" vertical="center"/>
    </xf>
    <xf numFmtId="3" fontId="11" fillId="6" borderId="41" xfId="0" applyNumberFormat="1" applyFont="1" applyFill="1" applyBorder="1" applyAlignment="1">
      <alignment horizontal="center" vertical="center"/>
    </xf>
    <xf numFmtId="0" fontId="12" fillId="6" borderId="41" xfId="0" applyFont="1" applyFill="1" applyBorder="1" applyAlignment="1">
      <alignment horizontal="center" vertical="center"/>
    </xf>
    <xf numFmtId="0" fontId="11" fillId="6" borderId="44" xfId="0" applyFont="1" applyFill="1" applyBorder="1" applyAlignment="1">
      <alignment horizontal="center" vertical="center"/>
    </xf>
    <xf numFmtId="0" fontId="11" fillId="6" borderId="43" xfId="0" applyFont="1" applyFill="1" applyBorder="1" applyAlignment="1">
      <alignment horizontal="center" vertical="center"/>
    </xf>
    <xf numFmtId="3" fontId="11" fillId="3" borderId="41" xfId="0" applyNumberFormat="1" applyFont="1" applyFill="1" applyBorder="1" applyAlignment="1">
      <alignment horizontal="center" vertical="center"/>
    </xf>
    <xf numFmtId="3" fontId="11" fillId="3" borderId="49" xfId="0" applyNumberFormat="1" applyFont="1" applyFill="1" applyBorder="1" applyAlignment="1">
      <alignment horizontal="center" vertical="center"/>
    </xf>
    <xf numFmtId="0" fontId="11" fillId="8" borderId="36" xfId="0" applyFont="1" applyFill="1" applyBorder="1" applyAlignment="1">
      <alignment horizontal="center" vertical="center"/>
    </xf>
    <xf numFmtId="0" fontId="11" fillId="8" borderId="37" xfId="0" applyFont="1" applyFill="1" applyBorder="1" applyAlignment="1">
      <alignment horizontal="center" vertical="center"/>
    </xf>
    <xf numFmtId="3" fontId="11" fillId="8" borderId="39" xfId="0" applyNumberFormat="1" applyFont="1" applyFill="1" applyBorder="1" applyAlignment="1">
      <alignment horizontal="center" vertical="center"/>
    </xf>
    <xf numFmtId="3" fontId="11" fillId="9" borderId="37" xfId="0" applyNumberFormat="1" applyFont="1" applyFill="1" applyBorder="1" applyAlignment="1">
      <alignment horizontal="center" vertical="center"/>
    </xf>
    <xf numFmtId="0" fontId="11" fillId="10" borderId="40" xfId="0" applyFont="1" applyFill="1" applyBorder="1" applyAlignment="1">
      <alignment horizontal="center" vertical="center"/>
    </xf>
    <xf numFmtId="0" fontId="11" fillId="10" borderId="37" xfId="0" applyFont="1" applyFill="1" applyBorder="1" applyAlignment="1">
      <alignment horizontal="center" vertical="center"/>
    </xf>
    <xf numFmtId="3" fontId="11" fillId="11" borderId="45" xfId="0" applyNumberFormat="1" applyFont="1" applyFill="1" applyBorder="1" applyAlignment="1">
      <alignment horizontal="center" vertical="center"/>
    </xf>
    <xf numFmtId="3" fontId="11" fillId="11" borderId="41" xfId="0" applyNumberFormat="1" applyFont="1" applyFill="1" applyBorder="1" applyAlignment="1">
      <alignment horizontal="center" vertical="center"/>
    </xf>
    <xf numFmtId="0" fontId="11" fillId="9" borderId="40" xfId="0" applyFont="1" applyFill="1" applyBorder="1" applyAlignment="1">
      <alignment horizontal="center" vertical="center"/>
    </xf>
    <xf numFmtId="0" fontId="11" fillId="9" borderId="38" xfId="0" applyFont="1" applyFill="1" applyBorder="1" applyAlignment="1">
      <alignment horizontal="center" vertical="center"/>
    </xf>
    <xf numFmtId="0" fontId="11" fillId="9" borderId="37" xfId="0" applyFont="1" applyFill="1" applyBorder="1" applyAlignment="1">
      <alignment horizontal="center" vertical="center"/>
    </xf>
    <xf numFmtId="3" fontId="11" fillId="9" borderId="39" xfId="0" applyNumberFormat="1" applyFont="1" applyFill="1" applyBorder="1" applyAlignment="1">
      <alignment horizontal="center" vertical="center"/>
    </xf>
    <xf numFmtId="3" fontId="11" fillId="6" borderId="42" xfId="0" applyNumberFormat="1" applyFont="1" applyFill="1" applyBorder="1" applyAlignment="1">
      <alignment horizontal="center" vertical="center"/>
    </xf>
    <xf numFmtId="164" fontId="11" fillId="6" borderId="41" xfId="0" applyNumberFormat="1" applyFont="1" applyFill="1" applyBorder="1" applyAlignment="1">
      <alignment horizontal="center" vertical="center"/>
    </xf>
    <xf numFmtId="168" fontId="11" fillId="6" borderId="50" xfId="0" applyNumberFormat="1" applyFont="1" applyFill="1" applyBorder="1" applyAlignment="1">
      <alignment horizontal="center" vertical="center"/>
    </xf>
    <xf numFmtId="165" fontId="9" fillId="0" borderId="51" xfId="0" applyNumberFormat="1" applyFont="1" applyBorder="1" applyAlignment="1">
      <alignment horizontal="center" vertical="center"/>
    </xf>
    <xf numFmtId="168" fontId="9" fillId="0" borderId="52" xfId="0" applyNumberFormat="1" applyFont="1" applyBorder="1" applyAlignment="1">
      <alignment horizontal="center" vertical="center"/>
    </xf>
    <xf numFmtId="4" fontId="9" fillId="0" borderId="53" xfId="0" applyNumberFormat="1" applyFont="1" applyBorder="1" applyAlignment="1">
      <alignment horizontal="center" vertical="center"/>
    </xf>
    <xf numFmtId="169" fontId="9" fillId="0" borderId="54" xfId="0" applyNumberFormat="1" applyFont="1" applyBorder="1" applyAlignment="1">
      <alignment horizontal="center" vertical="center"/>
    </xf>
    <xf numFmtId="167" fontId="9" fillId="0" borderId="55" xfId="0" applyNumberFormat="1" applyFont="1" applyBorder="1" applyAlignment="1">
      <alignment horizontal="center" vertical="center"/>
    </xf>
    <xf numFmtId="3" fontId="9" fillId="5" borderId="52" xfId="0" applyNumberFormat="1" applyFont="1" applyFill="1" applyBorder="1" applyAlignment="1">
      <alignment horizontal="center" vertical="center" wrapText="1"/>
    </xf>
    <xf numFmtId="3" fontId="9" fillId="5" borderId="56" xfId="0" applyNumberFormat="1" applyFont="1" applyFill="1" applyBorder="1" applyAlignment="1">
      <alignment horizontal="center" vertical="center" wrapText="1"/>
    </xf>
    <xf numFmtId="3" fontId="9" fillId="5" borderId="57" xfId="0" applyNumberFormat="1" applyFont="1" applyFill="1" applyBorder="1" applyAlignment="1">
      <alignment horizontal="center" vertical="center" wrapText="1"/>
    </xf>
    <xf numFmtId="3" fontId="9" fillId="5" borderId="58" xfId="0" applyNumberFormat="1" applyFont="1" applyFill="1" applyBorder="1" applyAlignment="1">
      <alignment horizontal="center" vertical="center" wrapText="1"/>
    </xf>
    <xf numFmtId="3" fontId="9" fillId="0" borderId="59" xfId="0" applyNumberFormat="1" applyFont="1" applyBorder="1" applyAlignment="1">
      <alignment horizontal="center" vertical="center" wrapText="1"/>
    </xf>
    <xf numFmtId="3" fontId="9" fillId="0" borderId="56" xfId="0" applyNumberFormat="1" applyFont="1" applyBorder="1" applyAlignment="1">
      <alignment horizontal="center" vertical="center"/>
    </xf>
    <xf numFmtId="3" fontId="9" fillId="0" borderId="56" xfId="0" quotePrefix="1" applyNumberFormat="1" applyFont="1" applyBorder="1" applyAlignment="1">
      <alignment horizontal="center" vertical="center"/>
    </xf>
    <xf numFmtId="49" fontId="9" fillId="0" borderId="60" xfId="0" applyNumberFormat="1" applyFont="1" applyBorder="1" applyAlignment="1">
      <alignment horizontal="center" vertical="center"/>
    </xf>
    <xf numFmtId="3" fontId="9" fillId="0" borderId="58" xfId="0" applyNumberFormat="1" applyFont="1" applyBorder="1" applyAlignment="1">
      <alignment horizontal="center" vertical="center"/>
    </xf>
    <xf numFmtId="3" fontId="9" fillId="0" borderId="52" xfId="0" applyNumberFormat="1" applyFont="1" applyBorder="1" applyAlignment="1">
      <alignment horizontal="center" vertical="center"/>
    </xf>
    <xf numFmtId="3" fontId="9" fillId="3" borderId="56" xfId="0" applyNumberFormat="1" applyFont="1" applyFill="1" applyBorder="1" applyAlignment="1">
      <alignment horizontal="center" vertical="center"/>
    </xf>
    <xf numFmtId="3" fontId="14" fillId="3" borderId="56" xfId="0" applyNumberFormat="1" applyFont="1" applyFill="1" applyBorder="1" applyAlignment="1">
      <alignment horizontal="center" vertical="center"/>
    </xf>
    <xf numFmtId="3" fontId="9" fillId="3" borderId="64" xfId="0" applyNumberFormat="1" applyFont="1" applyFill="1" applyBorder="1" applyAlignment="1">
      <alignment horizontal="center" vertical="center"/>
    </xf>
    <xf numFmtId="3" fontId="9" fillId="8" borderId="65" xfId="0" applyNumberFormat="1" applyFont="1" applyFill="1" applyBorder="1" applyAlignment="1">
      <alignment horizontal="center" vertical="center"/>
    </xf>
    <xf numFmtId="3" fontId="9" fillId="8" borderId="53" xfId="0" applyNumberFormat="1" applyFont="1" applyFill="1" applyBorder="1" applyAlignment="1">
      <alignment horizontal="center" vertical="center"/>
    </xf>
    <xf numFmtId="3" fontId="9" fillId="8" borderId="55" xfId="0" applyNumberFormat="1" applyFont="1" applyFill="1" applyBorder="1" applyAlignment="1">
      <alignment horizontal="center" vertical="center"/>
    </xf>
    <xf numFmtId="3" fontId="9" fillId="9" borderId="65" xfId="0" applyNumberFormat="1" applyFont="1" applyFill="1" applyBorder="1" applyAlignment="1">
      <alignment horizontal="center" vertical="center"/>
    </xf>
    <xf numFmtId="168" fontId="9" fillId="9" borderId="53" xfId="0" applyNumberFormat="1" applyFont="1" applyFill="1" applyBorder="1" applyAlignment="1">
      <alignment horizontal="center" vertical="center"/>
    </xf>
    <xf numFmtId="3" fontId="9" fillId="9" borderId="55" xfId="0" applyNumberFormat="1" applyFont="1" applyFill="1" applyBorder="1" applyAlignment="1">
      <alignment horizontal="center" vertical="center"/>
    </xf>
    <xf numFmtId="3" fontId="9" fillId="10" borderId="52" xfId="0" applyNumberFormat="1" applyFont="1" applyFill="1" applyBorder="1" applyAlignment="1">
      <alignment horizontal="center" vertical="center"/>
    </xf>
    <xf numFmtId="4" fontId="9" fillId="10" borderId="53" xfId="0" applyNumberFormat="1" applyFont="1" applyFill="1" applyBorder="1" applyAlignment="1">
      <alignment horizontal="center" vertical="center"/>
    </xf>
    <xf numFmtId="3" fontId="9" fillId="9" borderId="53" xfId="0" applyNumberFormat="1" applyFont="1" applyFill="1" applyBorder="1" applyAlignment="1">
      <alignment horizontal="center" vertical="center"/>
    </xf>
    <xf numFmtId="3" fontId="9" fillId="9" borderId="54" xfId="0" applyNumberFormat="1" applyFont="1" applyFill="1" applyBorder="1" applyAlignment="1">
      <alignment horizontal="center" vertical="center"/>
    </xf>
    <xf numFmtId="3" fontId="9" fillId="9" borderId="66" xfId="0" applyNumberFormat="1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164" fontId="9" fillId="0" borderId="59" xfId="0" applyNumberFormat="1" applyFont="1" applyBorder="1" applyAlignment="1">
      <alignment horizontal="center" vertical="center"/>
    </xf>
    <xf numFmtId="168" fontId="9" fillId="0" borderId="67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65" fontId="7" fillId="6" borderId="68" xfId="0" applyNumberFormat="1" applyFont="1" applyFill="1" applyBorder="1" applyAlignment="1">
      <alignment horizontal="center" vertical="center"/>
    </xf>
    <xf numFmtId="168" fontId="7" fillId="6" borderId="69" xfId="0" applyNumberFormat="1" applyFont="1" applyFill="1" applyBorder="1" applyAlignment="1">
      <alignment vertical="center"/>
    </xf>
    <xf numFmtId="4" fontId="7" fillId="6" borderId="70" xfId="0" applyNumberFormat="1" applyFont="1" applyFill="1" applyBorder="1" applyAlignment="1">
      <alignment horizontal="center" vertical="center"/>
    </xf>
    <xf numFmtId="167" fontId="7" fillId="6" borderId="71" xfId="0" applyNumberFormat="1" applyFont="1" applyFill="1" applyBorder="1" applyAlignment="1">
      <alignment vertical="center"/>
    </xf>
    <xf numFmtId="167" fontId="7" fillId="6" borderId="72" xfId="0" applyNumberFormat="1" applyFont="1" applyFill="1" applyBorder="1" applyAlignment="1">
      <alignment vertical="center"/>
    </xf>
    <xf numFmtId="3" fontId="6" fillId="5" borderId="73" xfId="0" applyNumberFormat="1" applyFont="1" applyFill="1" applyBorder="1" applyAlignment="1">
      <alignment horizontal="center" vertical="center"/>
    </xf>
    <xf numFmtId="3" fontId="6" fillId="5" borderId="74" xfId="0" applyNumberFormat="1" applyFont="1" applyFill="1" applyBorder="1" applyAlignment="1">
      <alignment horizontal="center" vertical="center"/>
    </xf>
    <xf numFmtId="3" fontId="6" fillId="5" borderId="75" xfId="0" applyNumberFormat="1" applyFont="1" applyFill="1" applyBorder="1" applyAlignment="1">
      <alignment horizontal="center" vertical="center"/>
    </xf>
    <xf numFmtId="3" fontId="6" fillId="5" borderId="76" xfId="0" applyNumberFormat="1" applyFont="1" applyFill="1" applyBorder="1" applyAlignment="1">
      <alignment horizontal="center" vertical="center"/>
    </xf>
    <xf numFmtId="3" fontId="6" fillId="6" borderId="77" xfId="0" applyNumberFormat="1" applyFont="1" applyFill="1" applyBorder="1" applyAlignment="1">
      <alignment horizontal="center" vertical="center"/>
    </xf>
    <xf numFmtId="3" fontId="6" fillId="6" borderId="78" xfId="0" applyNumberFormat="1" applyFont="1" applyFill="1" applyBorder="1" applyAlignment="1">
      <alignment horizontal="center" vertical="center"/>
    </xf>
    <xf numFmtId="3" fontId="6" fillId="6" borderId="79" xfId="0" applyNumberFormat="1" applyFont="1" applyFill="1" applyBorder="1" applyAlignment="1">
      <alignment horizontal="center" vertical="center"/>
    </xf>
    <xf numFmtId="3" fontId="6" fillId="6" borderId="80" xfId="0" applyNumberFormat="1" applyFont="1" applyFill="1" applyBorder="1" applyAlignment="1">
      <alignment horizontal="center" vertical="center"/>
    </xf>
    <xf numFmtId="3" fontId="7" fillId="7" borderId="82" xfId="0" applyNumberFormat="1" applyFont="1" applyFill="1" applyBorder="1" applyAlignment="1">
      <alignment horizontal="center" vertical="center"/>
    </xf>
    <xf numFmtId="3" fontId="7" fillId="3" borderId="78" xfId="0" applyNumberFormat="1" applyFont="1" applyFill="1" applyBorder="1" applyAlignment="1">
      <alignment horizontal="center" vertical="center"/>
    </xf>
    <xf numFmtId="3" fontId="7" fillId="3" borderId="84" xfId="0" applyNumberFormat="1" applyFont="1" applyFill="1" applyBorder="1" applyAlignment="1">
      <alignment horizontal="center" vertical="center"/>
    </xf>
    <xf numFmtId="3" fontId="7" fillId="8" borderId="69" xfId="0" applyNumberFormat="1" applyFont="1" applyFill="1" applyBorder="1" applyAlignment="1">
      <alignment horizontal="center" vertical="center"/>
    </xf>
    <xf numFmtId="3" fontId="7" fillId="8" borderId="70" xfId="0" applyNumberFormat="1" applyFont="1" applyFill="1" applyBorder="1" applyAlignment="1">
      <alignment horizontal="center" vertical="center"/>
    </xf>
    <xf numFmtId="3" fontId="7" fillId="8" borderId="72" xfId="0" applyNumberFormat="1" applyFont="1" applyFill="1" applyBorder="1" applyAlignment="1">
      <alignment horizontal="center" vertical="center"/>
    </xf>
    <xf numFmtId="3" fontId="7" fillId="9" borderId="69" xfId="0" applyNumberFormat="1" applyFont="1" applyFill="1" applyBorder="1" applyAlignment="1">
      <alignment horizontal="center" vertical="center"/>
    </xf>
    <xf numFmtId="3" fontId="7" fillId="10" borderId="69" xfId="0" applyNumberFormat="1" applyFont="1" applyFill="1" applyBorder="1" applyAlignment="1">
      <alignment horizontal="center" vertical="center"/>
    </xf>
    <xf numFmtId="3" fontId="7" fillId="10" borderId="85" xfId="0" applyNumberFormat="1" applyFont="1" applyFill="1" applyBorder="1" applyAlignment="1">
      <alignment horizontal="center" vertical="center"/>
    </xf>
    <xf numFmtId="3" fontId="7" fillId="10" borderId="84" xfId="0" applyNumberFormat="1" applyFont="1" applyFill="1" applyBorder="1" applyAlignment="1">
      <alignment horizontal="center" vertical="center"/>
    </xf>
    <xf numFmtId="3" fontId="7" fillId="11" borderId="82" xfId="0" applyNumberFormat="1" applyFont="1" applyFill="1" applyBorder="1" applyAlignment="1">
      <alignment horizontal="center" vertical="center"/>
    </xf>
    <xf numFmtId="3" fontId="7" fillId="11" borderId="78" xfId="0" applyNumberFormat="1" applyFont="1" applyFill="1" applyBorder="1" applyAlignment="1">
      <alignment horizontal="center" vertical="center"/>
    </xf>
    <xf numFmtId="3" fontId="7" fillId="9" borderId="70" xfId="0" applyNumberFormat="1" applyFont="1" applyFill="1" applyBorder="1" applyAlignment="1">
      <alignment horizontal="center" vertical="center"/>
    </xf>
    <xf numFmtId="3" fontId="7" fillId="12" borderId="70" xfId="0" applyNumberFormat="1" applyFont="1" applyFill="1" applyBorder="1" applyAlignment="1">
      <alignment horizontal="center" vertical="center"/>
    </xf>
    <xf numFmtId="168" fontId="7" fillId="9" borderId="70" xfId="0" applyNumberFormat="1" applyFont="1" applyFill="1" applyBorder="1" applyAlignment="1">
      <alignment horizontal="center" vertical="center"/>
    </xf>
    <xf numFmtId="3" fontId="7" fillId="12" borderId="72" xfId="0" applyNumberFormat="1" applyFont="1" applyFill="1" applyBorder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166" fontId="9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167" fontId="9" fillId="0" borderId="0" xfId="0" applyNumberFormat="1" applyFont="1" applyAlignment="1">
      <alignment horizontal="center" vertical="center"/>
    </xf>
    <xf numFmtId="3" fontId="9" fillId="5" borderId="0" xfId="0" applyNumberFormat="1" applyFont="1" applyFill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3" fontId="14" fillId="0" borderId="0" xfId="0" applyNumberFormat="1" applyFont="1" applyAlignment="1">
      <alignment horizontal="center" vertical="center"/>
    </xf>
    <xf numFmtId="169" fontId="9" fillId="0" borderId="54" xfId="0" applyNumberFormat="1" applyFont="1" applyBorder="1" applyAlignment="1">
      <alignment vertical="center"/>
    </xf>
    <xf numFmtId="165" fontId="9" fillId="0" borderId="86" xfId="0" applyNumberFormat="1" applyFont="1" applyBorder="1" applyAlignment="1">
      <alignment horizontal="center" vertical="center"/>
    </xf>
    <xf numFmtId="168" fontId="9" fillId="0" borderId="87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167" fontId="9" fillId="0" borderId="88" xfId="0" applyNumberFormat="1" applyFont="1" applyBorder="1" applyAlignment="1">
      <alignment horizontal="center" vertical="center"/>
    </xf>
    <xf numFmtId="3" fontId="9" fillId="5" borderId="87" xfId="0" applyNumberFormat="1" applyFont="1" applyFill="1" applyBorder="1" applyAlignment="1">
      <alignment horizontal="center" vertical="center" wrapText="1"/>
    </xf>
    <xf numFmtId="3" fontId="9" fillId="5" borderId="89" xfId="0" applyNumberFormat="1" applyFont="1" applyFill="1" applyBorder="1" applyAlignment="1">
      <alignment horizontal="center" vertical="center" wrapText="1"/>
    </xf>
    <xf numFmtId="3" fontId="9" fillId="5" borderId="0" xfId="0" applyNumberFormat="1" applyFont="1" applyFill="1" applyAlignment="1">
      <alignment horizontal="center" vertical="center" wrapText="1"/>
    </xf>
    <xf numFmtId="3" fontId="9" fillId="5" borderId="90" xfId="0" applyNumberFormat="1" applyFont="1" applyFill="1" applyBorder="1" applyAlignment="1">
      <alignment horizontal="center" vertical="center" wrapText="1"/>
    </xf>
    <xf numFmtId="3" fontId="9" fillId="0" borderId="87" xfId="0" applyNumberFormat="1" applyFont="1" applyBorder="1" applyAlignment="1">
      <alignment horizontal="center" vertical="center" wrapText="1"/>
    </xf>
    <xf numFmtId="3" fontId="9" fillId="0" borderId="89" xfId="0" applyNumberFormat="1" applyFont="1" applyBorder="1" applyAlignment="1">
      <alignment horizontal="center" vertical="center"/>
    </xf>
    <xf numFmtId="3" fontId="9" fillId="0" borderId="89" xfId="0" quotePrefix="1" applyNumberFormat="1" applyFont="1" applyBorder="1" applyAlignment="1">
      <alignment horizontal="center" vertical="center"/>
    </xf>
    <xf numFmtId="49" fontId="9" fillId="0" borderId="91" xfId="0" applyNumberFormat="1" applyFont="1" applyBorder="1" applyAlignment="1">
      <alignment horizontal="center" vertical="center"/>
    </xf>
    <xf numFmtId="3" fontId="9" fillId="0" borderId="90" xfId="0" applyNumberFormat="1" applyFont="1" applyBorder="1" applyAlignment="1">
      <alignment horizontal="center" vertical="center"/>
    </xf>
    <xf numFmtId="3" fontId="9" fillId="8" borderId="93" xfId="0" applyNumberFormat="1" applyFont="1" applyFill="1" applyBorder="1" applyAlignment="1">
      <alignment horizontal="center" vertical="center"/>
    </xf>
    <xf numFmtId="3" fontId="9" fillId="8" borderId="4" xfId="0" applyNumberFormat="1" applyFont="1" applyFill="1" applyBorder="1" applyAlignment="1">
      <alignment horizontal="center" vertical="center"/>
    </xf>
    <xf numFmtId="3" fontId="9" fillId="9" borderId="88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3" fontId="6" fillId="6" borderId="96" xfId="0" applyNumberFormat="1" applyFont="1" applyFill="1" applyBorder="1" applyAlignment="1">
      <alignment horizontal="center" vertical="center" textRotation="90"/>
    </xf>
    <xf numFmtId="168" fontId="6" fillId="6" borderId="97" xfId="0" applyNumberFormat="1" applyFont="1" applyFill="1" applyBorder="1" applyAlignment="1">
      <alignment horizontal="center" vertical="center" textRotation="90"/>
    </xf>
    <xf numFmtId="168" fontId="6" fillId="6" borderId="98" xfId="0" applyNumberFormat="1" applyFont="1" applyFill="1" applyBorder="1" applyAlignment="1">
      <alignment horizontal="center" vertical="center" textRotation="90"/>
    </xf>
    <xf numFmtId="0" fontId="11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164" fontId="9" fillId="0" borderId="99" xfId="0" applyNumberFormat="1" applyFont="1" applyBorder="1" applyAlignment="1">
      <alignment horizontal="center" vertical="center"/>
    </xf>
    <xf numFmtId="1" fontId="9" fillId="0" borderId="5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3" fontId="6" fillId="5" borderId="77" xfId="0" applyNumberFormat="1" applyFont="1" applyFill="1" applyBorder="1" applyAlignment="1">
      <alignment horizontal="center" vertical="center"/>
    </xf>
    <xf numFmtId="3" fontId="6" fillId="5" borderId="78" xfId="0" applyNumberFormat="1" applyFont="1" applyFill="1" applyBorder="1" applyAlignment="1">
      <alignment horizontal="center" vertical="center"/>
    </xf>
    <xf numFmtId="3" fontId="6" fillId="5" borderId="100" xfId="0" applyNumberFormat="1" applyFont="1" applyFill="1" applyBorder="1" applyAlignment="1">
      <alignment horizontal="center" vertical="center"/>
    </xf>
    <xf numFmtId="3" fontId="6" fillId="5" borderId="80" xfId="0" applyNumberFormat="1" applyFont="1" applyFill="1" applyBorder="1" applyAlignment="1">
      <alignment horizontal="center" vertical="center"/>
    </xf>
    <xf numFmtId="3" fontId="7" fillId="9" borderId="71" xfId="0" applyNumberFormat="1" applyFont="1" applyFill="1" applyBorder="1" applyAlignment="1">
      <alignment horizontal="center" vertical="center"/>
    </xf>
    <xf numFmtId="3" fontId="7" fillId="6" borderId="73" xfId="0" applyNumberFormat="1" applyFont="1" applyFill="1" applyBorder="1" applyAlignment="1">
      <alignment horizontal="center" vertical="center"/>
    </xf>
    <xf numFmtId="164" fontId="9" fillId="6" borderId="81" xfId="0" applyNumberFormat="1" applyFont="1" applyFill="1" applyBorder="1" applyAlignment="1">
      <alignment horizontal="center" vertical="center"/>
    </xf>
    <xf numFmtId="168" fontId="9" fillId="6" borderId="10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/>
    </xf>
    <xf numFmtId="2" fontId="17" fillId="2" borderId="1" xfId="0" applyNumberFormat="1" applyFont="1" applyFill="1" applyBorder="1" applyAlignment="1">
      <alignment horizontal="center" wrapText="1"/>
    </xf>
    <xf numFmtId="0" fontId="17" fillId="3" borderId="1" xfId="0" applyFont="1" applyFill="1" applyBorder="1" applyAlignment="1">
      <alignment vertical="center"/>
    </xf>
    <xf numFmtId="0" fontId="17" fillId="3" borderId="1" xfId="0" applyFont="1" applyFill="1" applyBorder="1" applyAlignment="1">
      <alignment horizontal="left" vertical="center"/>
    </xf>
    <xf numFmtId="164" fontId="17" fillId="3" borderId="1" xfId="0" applyNumberFormat="1" applyFont="1" applyFill="1" applyBorder="1" applyAlignment="1">
      <alignment horizontal="center" vertical="center"/>
    </xf>
    <xf numFmtId="2" fontId="17" fillId="3" borderId="1" xfId="0" applyNumberFormat="1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left" vertical="center"/>
    </xf>
    <xf numFmtId="164" fontId="17" fillId="4" borderId="1" xfId="0" applyNumberFormat="1" applyFont="1" applyFill="1" applyBorder="1" applyAlignment="1">
      <alignment horizontal="center" vertical="center"/>
    </xf>
    <xf numFmtId="2" fontId="17" fillId="4" borderId="1" xfId="0" applyNumberFormat="1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wrapText="1"/>
    </xf>
    <xf numFmtId="0" fontId="16" fillId="3" borderId="1" xfId="0" applyFont="1" applyFill="1" applyBorder="1" applyAlignment="1">
      <alignment horizontal="center"/>
    </xf>
    <xf numFmtId="2" fontId="16" fillId="3" borderId="1" xfId="0" applyNumberFormat="1" applyFont="1" applyFill="1" applyBorder="1" applyAlignment="1">
      <alignment horizontal="left" wrapText="1"/>
    </xf>
    <xf numFmtId="0" fontId="16" fillId="4" borderId="1" xfId="0" applyFont="1" applyFill="1" applyBorder="1" applyAlignment="1">
      <alignment wrapText="1"/>
    </xf>
    <xf numFmtId="0" fontId="16" fillId="4" borderId="1" xfId="0" applyFont="1" applyFill="1" applyBorder="1" applyAlignment="1">
      <alignment horizontal="center"/>
    </xf>
    <xf numFmtId="2" fontId="16" fillId="4" borderId="1" xfId="0" applyNumberFormat="1" applyFont="1" applyFill="1" applyBorder="1" applyAlignment="1">
      <alignment horizontal="left" wrapText="1"/>
    </xf>
    <xf numFmtId="0" fontId="16" fillId="3" borderId="1" xfId="0" applyFont="1" applyFill="1" applyBorder="1"/>
    <xf numFmtId="0" fontId="16" fillId="4" borderId="1" xfId="0" applyFont="1" applyFill="1" applyBorder="1"/>
    <xf numFmtId="0" fontId="4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6" fillId="6" borderId="24" xfId="0" applyFont="1" applyFill="1" applyBorder="1" applyAlignment="1">
      <alignment horizontal="center" vertical="center"/>
    </xf>
    <xf numFmtId="3" fontId="9" fillId="11" borderId="59" xfId="0" applyNumberFormat="1" applyFont="1" applyFill="1" applyBorder="1" applyAlignment="1">
      <alignment horizontal="center" vertical="center"/>
    </xf>
    <xf numFmtId="3" fontId="11" fillId="3" borderId="112" xfId="0" applyNumberFormat="1" applyFont="1" applyFill="1" applyBorder="1" applyAlignment="1">
      <alignment horizontal="center" vertical="center" wrapText="1"/>
    </xf>
    <xf numFmtId="3" fontId="6" fillId="3" borderId="56" xfId="0" applyNumberFormat="1" applyFont="1" applyFill="1" applyBorder="1" applyAlignment="1">
      <alignment horizontal="center" vertical="center"/>
    </xf>
    <xf numFmtId="3" fontId="6" fillId="3" borderId="64" xfId="0" applyNumberFormat="1" applyFont="1" applyFill="1" applyBorder="1" applyAlignment="1">
      <alignment horizontal="center" vertical="center"/>
    </xf>
    <xf numFmtId="3" fontId="11" fillId="3" borderId="48" xfId="0" applyNumberFormat="1" applyFont="1" applyFill="1" applyBorder="1" applyAlignment="1">
      <alignment horizontal="center" vertical="center"/>
    </xf>
    <xf numFmtId="3" fontId="14" fillId="3" borderId="63" xfId="0" applyNumberFormat="1" applyFont="1" applyFill="1" applyBorder="1" applyAlignment="1">
      <alignment horizontal="center" vertical="center"/>
    </xf>
    <xf numFmtId="3" fontId="11" fillId="11" borderId="48" xfId="0" applyNumberFormat="1" applyFont="1" applyFill="1" applyBorder="1" applyAlignment="1">
      <alignment horizontal="center" vertical="center"/>
    </xf>
    <xf numFmtId="3" fontId="7" fillId="11" borderId="83" xfId="0" applyNumberFormat="1" applyFont="1" applyFill="1" applyBorder="1" applyAlignment="1">
      <alignment horizontal="center" vertical="center"/>
    </xf>
    <xf numFmtId="3" fontId="7" fillId="3" borderId="83" xfId="0" applyNumberFormat="1" applyFont="1" applyFill="1" applyBorder="1" applyAlignment="1">
      <alignment horizontal="center" vertical="center"/>
    </xf>
    <xf numFmtId="3" fontId="6" fillId="3" borderId="63" xfId="0" applyNumberFormat="1" applyFont="1" applyFill="1" applyBorder="1" applyAlignment="1">
      <alignment horizontal="center" vertical="center"/>
    </xf>
    <xf numFmtId="3" fontId="6" fillId="11" borderId="63" xfId="0" applyNumberFormat="1" applyFont="1" applyFill="1" applyBorder="1" applyAlignment="1">
      <alignment horizontal="center" vertical="center"/>
    </xf>
    <xf numFmtId="3" fontId="14" fillId="11" borderId="56" xfId="0" applyNumberFormat="1" applyFont="1" applyFill="1" applyBorder="1" applyAlignment="1">
      <alignment horizontal="center" vertical="center"/>
    </xf>
    <xf numFmtId="3" fontId="9" fillId="11" borderId="63" xfId="0" applyNumberFormat="1" applyFont="1" applyFill="1" applyBorder="1" applyAlignment="1">
      <alignment horizontal="center" vertical="center"/>
    </xf>
    <xf numFmtId="3" fontId="6" fillId="11" borderId="56" xfId="0" applyNumberFormat="1" applyFont="1" applyFill="1" applyBorder="1" applyAlignment="1">
      <alignment horizontal="center" vertical="center"/>
    </xf>
    <xf numFmtId="168" fontId="9" fillId="0" borderId="55" xfId="0" applyNumberFormat="1" applyFont="1" applyBorder="1" applyAlignment="1">
      <alignment horizontal="center" vertical="center"/>
    </xf>
    <xf numFmtId="3" fontId="9" fillId="7" borderId="58" xfId="0" applyNumberFormat="1" applyFont="1" applyFill="1" applyBorder="1" applyAlignment="1">
      <alignment horizontal="center" vertical="center"/>
    </xf>
    <xf numFmtId="0" fontId="11" fillId="44" borderId="34" xfId="0" applyFont="1" applyFill="1" applyBorder="1" applyAlignment="1">
      <alignment horizontal="center" vertical="center" textRotation="90" wrapText="1"/>
    </xf>
    <xf numFmtId="3" fontId="11" fillId="44" borderId="1" xfId="0" applyNumberFormat="1" applyFont="1" applyFill="1" applyBorder="1" applyAlignment="1">
      <alignment horizontal="center" vertical="center" wrapText="1"/>
    </xf>
    <xf numFmtId="0" fontId="11" fillId="44" borderId="40" xfId="0" applyFont="1" applyFill="1" applyBorder="1" applyAlignment="1">
      <alignment horizontal="center" vertical="center"/>
    </xf>
    <xf numFmtId="0" fontId="11" fillId="44" borderId="37" xfId="0" applyFont="1" applyFill="1" applyBorder="1" applyAlignment="1">
      <alignment horizontal="center" vertical="center"/>
    </xf>
    <xf numFmtId="3" fontId="9" fillId="44" borderId="52" xfId="0" applyNumberFormat="1" applyFont="1" applyFill="1" applyBorder="1" applyAlignment="1">
      <alignment horizontal="center" vertical="center"/>
    </xf>
    <xf numFmtId="4" fontId="9" fillId="44" borderId="53" xfId="0" applyNumberFormat="1" applyFont="1" applyFill="1" applyBorder="1" applyAlignment="1">
      <alignment horizontal="center" vertical="center"/>
    </xf>
    <xf numFmtId="3" fontId="9" fillId="44" borderId="58" xfId="0" applyNumberFormat="1" applyFont="1" applyFill="1" applyBorder="1" applyAlignment="1">
      <alignment horizontal="center" vertical="center"/>
    </xf>
    <xf numFmtId="3" fontId="7" fillId="44" borderId="69" xfId="0" applyNumberFormat="1" applyFont="1" applyFill="1" applyBorder="1" applyAlignment="1">
      <alignment horizontal="center" vertical="center"/>
    </xf>
    <xf numFmtId="3" fontId="7" fillId="44" borderId="85" xfId="0" applyNumberFormat="1" applyFont="1" applyFill="1" applyBorder="1" applyAlignment="1">
      <alignment horizontal="center" vertical="center"/>
    </xf>
    <xf numFmtId="3" fontId="7" fillId="44" borderId="84" xfId="0" applyNumberFormat="1" applyFont="1" applyFill="1" applyBorder="1" applyAlignment="1">
      <alignment horizontal="center" vertical="center"/>
    </xf>
    <xf numFmtId="3" fontId="7" fillId="44" borderId="82" xfId="0" applyNumberFormat="1" applyFont="1" applyFill="1" applyBorder="1" applyAlignment="1">
      <alignment horizontal="center" vertical="center"/>
    </xf>
    <xf numFmtId="0" fontId="11" fillId="44" borderId="44" xfId="0" applyFont="1" applyFill="1" applyBorder="1" applyAlignment="1">
      <alignment horizontal="center" vertical="center"/>
    </xf>
    <xf numFmtId="0" fontId="11" fillId="44" borderId="38" xfId="0" applyFont="1" applyFill="1" applyBorder="1" applyAlignment="1">
      <alignment horizontal="center" vertical="center"/>
    </xf>
    <xf numFmtId="0" fontId="11" fillId="44" borderId="47" xfId="0" applyFont="1" applyFill="1" applyBorder="1" applyAlignment="1">
      <alignment horizontal="center" vertical="center"/>
    </xf>
    <xf numFmtId="0" fontId="11" fillId="44" borderId="43" xfId="0" applyFont="1" applyFill="1" applyBorder="1" applyAlignment="1">
      <alignment horizontal="center" vertical="center"/>
    </xf>
    <xf numFmtId="3" fontId="9" fillId="44" borderId="60" xfId="0" applyNumberFormat="1" applyFont="1" applyFill="1" applyBorder="1" applyAlignment="1">
      <alignment horizontal="center" vertical="center"/>
    </xf>
    <xf numFmtId="3" fontId="9" fillId="44" borderId="61" xfId="0" applyNumberFormat="1" applyFont="1" applyFill="1" applyBorder="1" applyAlignment="1">
      <alignment horizontal="center" vertical="center"/>
    </xf>
    <xf numFmtId="3" fontId="7" fillId="44" borderId="100" xfId="0" applyNumberFormat="1" applyFont="1" applyFill="1" applyBorder="1" applyAlignment="1">
      <alignment horizontal="center" vertical="center"/>
    </xf>
    <xf numFmtId="3" fontId="7" fillId="44" borderId="111" xfId="0" applyNumberFormat="1" applyFont="1" applyFill="1" applyBorder="1" applyAlignment="1">
      <alignment horizontal="center" vertical="center"/>
    </xf>
    <xf numFmtId="49" fontId="38" fillId="0" borderId="0" xfId="0" applyNumberFormat="1" applyFont="1" applyAlignment="1">
      <alignment horizontal="center" vertical="center"/>
    </xf>
    <xf numFmtId="169" fontId="38" fillId="0" borderId="54" xfId="0" applyNumberFormat="1" applyFont="1" applyBorder="1" applyAlignment="1">
      <alignment horizontal="center" vertical="center"/>
    </xf>
    <xf numFmtId="3" fontId="38" fillId="9" borderId="55" xfId="0" applyNumberFormat="1" applyFont="1" applyFill="1" applyBorder="1" applyAlignment="1">
      <alignment horizontal="center" vertical="center"/>
    </xf>
    <xf numFmtId="4" fontId="38" fillId="0" borderId="53" xfId="0" applyNumberFormat="1" applyFont="1" applyBorder="1" applyAlignment="1">
      <alignment horizontal="center" vertical="center"/>
    </xf>
    <xf numFmtId="167" fontId="38" fillId="0" borderId="55" xfId="0" applyNumberFormat="1" applyFont="1" applyBorder="1" applyAlignment="1">
      <alignment horizontal="center" vertical="center"/>
    </xf>
    <xf numFmtId="3" fontId="38" fillId="0" borderId="56" xfId="0" quotePrefix="1" applyNumberFormat="1" applyFont="1" applyBorder="1" applyAlignment="1">
      <alignment horizontal="center" vertical="center"/>
    </xf>
    <xf numFmtId="3" fontId="38" fillId="11" borderId="59" xfId="0" applyNumberFormat="1" applyFont="1" applyFill="1" applyBorder="1" applyAlignment="1">
      <alignment horizontal="center" vertical="center"/>
    </xf>
    <xf numFmtId="165" fontId="38" fillId="0" borderId="51" xfId="0" applyNumberFormat="1" applyFont="1" applyBorder="1" applyAlignment="1">
      <alignment horizontal="center" vertical="center"/>
    </xf>
    <xf numFmtId="49" fontId="38" fillId="0" borderId="60" xfId="0" applyNumberFormat="1" applyFont="1" applyBorder="1" applyAlignment="1">
      <alignment horizontal="center" vertical="center"/>
    </xf>
    <xf numFmtId="3" fontId="38" fillId="5" borderId="52" xfId="0" applyNumberFormat="1" applyFont="1" applyFill="1" applyBorder="1" applyAlignment="1">
      <alignment horizontal="center" vertical="center" wrapText="1"/>
    </xf>
    <xf numFmtId="3" fontId="38" fillId="0" borderId="52" xfId="0" applyNumberFormat="1" applyFont="1" applyBorder="1" applyAlignment="1">
      <alignment horizontal="center" vertical="center"/>
    </xf>
    <xf numFmtId="168" fontId="38" fillId="9" borderId="53" xfId="0" applyNumberFormat="1" applyFont="1" applyFill="1" applyBorder="1" applyAlignment="1">
      <alignment horizontal="center" vertical="center"/>
    </xf>
    <xf numFmtId="3" fontId="38" fillId="9" borderId="65" xfId="0" applyNumberFormat="1" applyFont="1" applyFill="1" applyBorder="1" applyAlignment="1">
      <alignment horizontal="center" vertical="center"/>
    </xf>
    <xf numFmtId="3" fontId="38" fillId="5" borderId="56" xfId="0" applyNumberFormat="1" applyFont="1" applyFill="1" applyBorder="1" applyAlignment="1">
      <alignment horizontal="center" vertical="center" wrapText="1"/>
    </xf>
    <xf numFmtId="3" fontId="38" fillId="0" borderId="58" xfId="0" applyNumberFormat="1" applyFont="1" applyBorder="1" applyAlignment="1">
      <alignment horizontal="center" vertical="center"/>
    </xf>
    <xf numFmtId="3" fontId="38" fillId="0" borderId="56" xfId="0" applyNumberFormat="1" applyFont="1" applyBorder="1" applyAlignment="1">
      <alignment horizontal="center" vertical="center"/>
    </xf>
    <xf numFmtId="3" fontId="38" fillId="5" borderId="58" xfId="0" applyNumberFormat="1" applyFont="1" applyFill="1" applyBorder="1" applyAlignment="1">
      <alignment horizontal="center" vertical="center" wrapText="1"/>
    </xf>
    <xf numFmtId="3" fontId="38" fillId="5" borderId="57" xfId="0" applyNumberFormat="1" applyFont="1" applyFill="1" applyBorder="1" applyAlignment="1">
      <alignment horizontal="center" vertical="center" wrapText="1"/>
    </xf>
    <xf numFmtId="3" fontId="38" fillId="0" borderId="59" xfId="0" applyNumberFormat="1" applyFont="1" applyBorder="1" applyAlignment="1">
      <alignment horizontal="center" vertical="center" wrapText="1"/>
    </xf>
    <xf numFmtId="168" fontId="38" fillId="0" borderId="52" xfId="0" applyNumberFormat="1" applyFont="1" applyBorder="1" applyAlignment="1">
      <alignment horizontal="center" vertical="center"/>
    </xf>
    <xf numFmtId="3" fontId="38" fillId="11" borderId="63" xfId="0" applyNumberFormat="1" applyFont="1" applyFill="1" applyBorder="1" applyAlignment="1">
      <alignment horizontal="center" vertical="center"/>
    </xf>
    <xf numFmtId="3" fontId="39" fillId="11" borderId="63" xfId="0" applyNumberFormat="1" applyFont="1" applyFill="1" applyBorder="1" applyAlignment="1">
      <alignment horizontal="center" vertical="center"/>
    </xf>
    <xf numFmtId="3" fontId="38" fillId="3" borderId="56" xfId="0" applyNumberFormat="1" applyFont="1" applyFill="1" applyBorder="1" applyAlignment="1">
      <alignment horizontal="center" vertical="center"/>
    </xf>
    <xf numFmtId="3" fontId="38" fillId="3" borderId="64" xfId="0" applyNumberFormat="1" applyFont="1" applyFill="1" applyBorder="1" applyAlignment="1">
      <alignment horizontal="center" vertical="center"/>
    </xf>
    <xf numFmtId="3" fontId="39" fillId="11" borderId="56" xfId="0" applyNumberFormat="1" applyFont="1" applyFill="1" applyBorder="1" applyAlignment="1">
      <alignment horizontal="center" vertical="center"/>
    </xf>
    <xf numFmtId="3" fontId="39" fillId="3" borderId="56" xfId="0" applyNumberFormat="1" applyFont="1" applyFill="1" applyBorder="1" applyAlignment="1">
      <alignment horizontal="center" vertical="center"/>
    </xf>
    <xf numFmtId="3" fontId="39" fillId="3" borderId="63" xfId="0" applyNumberFormat="1" applyFont="1" applyFill="1" applyBorder="1" applyAlignment="1">
      <alignment horizontal="center" vertical="center"/>
    </xf>
    <xf numFmtId="3" fontId="38" fillId="8" borderId="65" xfId="0" applyNumberFormat="1" applyFont="1" applyFill="1" applyBorder="1" applyAlignment="1">
      <alignment horizontal="center" vertical="center"/>
    </xf>
    <xf numFmtId="3" fontId="38" fillId="8" borderId="53" xfId="0" applyNumberFormat="1" applyFont="1" applyFill="1" applyBorder="1" applyAlignment="1">
      <alignment horizontal="center" vertical="center"/>
    </xf>
    <xf numFmtId="3" fontId="38" fillId="8" borderId="55" xfId="0" applyNumberFormat="1" applyFont="1" applyFill="1" applyBorder="1" applyAlignment="1">
      <alignment horizontal="center" vertical="center"/>
    </xf>
    <xf numFmtId="3" fontId="38" fillId="9" borderId="53" xfId="0" applyNumberFormat="1" applyFont="1" applyFill="1" applyBorder="1" applyAlignment="1">
      <alignment horizontal="center" vertical="center"/>
    </xf>
    <xf numFmtId="3" fontId="38" fillId="9" borderId="54" xfId="0" applyNumberFormat="1" applyFont="1" applyFill="1" applyBorder="1" applyAlignment="1">
      <alignment horizontal="center" vertical="center"/>
    </xf>
    <xf numFmtId="164" fontId="38" fillId="0" borderId="59" xfId="0" applyNumberFormat="1" applyFont="1" applyBorder="1" applyAlignment="1">
      <alignment horizontal="center" vertical="center"/>
    </xf>
    <xf numFmtId="168" fontId="38" fillId="0" borderId="67" xfId="0" applyNumberFormat="1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3" fontId="9" fillId="3" borderId="61" xfId="0" applyNumberFormat="1" applyFont="1" applyFill="1" applyBorder="1" applyAlignment="1">
      <alignment horizontal="center" vertical="center"/>
    </xf>
    <xf numFmtId="3" fontId="38" fillId="3" borderId="61" xfId="0" applyNumberFormat="1" applyFont="1" applyFill="1" applyBorder="1" applyAlignment="1">
      <alignment horizontal="center" vertical="center"/>
    </xf>
    <xf numFmtId="3" fontId="9" fillId="3" borderId="62" xfId="0" applyNumberFormat="1" applyFont="1" applyFill="1" applyBorder="1" applyAlignment="1">
      <alignment horizontal="center" vertical="center"/>
    </xf>
    <xf numFmtId="3" fontId="9" fillId="3" borderId="55" xfId="0" applyNumberFormat="1" applyFont="1" applyFill="1" applyBorder="1" applyAlignment="1">
      <alignment horizontal="center" vertical="center"/>
    </xf>
    <xf numFmtId="0" fontId="11" fillId="3" borderId="46" xfId="0" applyFont="1" applyFill="1" applyBorder="1" applyAlignment="1">
      <alignment horizontal="center" vertical="center"/>
    </xf>
    <xf numFmtId="3" fontId="9" fillId="3" borderId="88" xfId="0" applyNumberFormat="1" applyFont="1" applyFill="1" applyBorder="1" applyAlignment="1">
      <alignment horizontal="center" vertical="center"/>
    </xf>
    <xf numFmtId="3" fontId="14" fillId="3" borderId="61" xfId="0" applyNumberFormat="1" applyFont="1" applyFill="1" applyBorder="1" applyAlignment="1">
      <alignment horizontal="center" vertical="center"/>
    </xf>
    <xf numFmtId="0" fontId="11" fillId="3" borderId="47" xfId="0" applyFont="1" applyFill="1" applyBorder="1" applyAlignment="1">
      <alignment horizontal="center" vertical="center"/>
    </xf>
    <xf numFmtId="3" fontId="14" fillId="3" borderId="62" xfId="0" applyNumberFormat="1" applyFont="1" applyFill="1" applyBorder="1" applyAlignment="1">
      <alignment horizontal="center" vertical="center"/>
    </xf>
    <xf numFmtId="3" fontId="6" fillId="3" borderId="100" xfId="0" applyNumberFormat="1" applyFont="1" applyFill="1" applyBorder="1" applyAlignment="1">
      <alignment horizontal="center" vertical="center"/>
    </xf>
    <xf numFmtId="3" fontId="6" fillId="3" borderId="85" xfId="0" applyNumberFormat="1" applyFont="1" applyFill="1" applyBorder="1" applyAlignment="1">
      <alignment horizontal="center" vertical="center"/>
    </xf>
    <xf numFmtId="3" fontId="9" fillId="3" borderId="60" xfId="0" applyNumberFormat="1" applyFont="1" applyFill="1" applyBorder="1" applyAlignment="1">
      <alignment horizontal="center" vertical="center"/>
    </xf>
    <xf numFmtId="0" fontId="11" fillId="3" borderId="44" xfId="0" applyFont="1" applyFill="1" applyBorder="1" applyAlignment="1">
      <alignment horizontal="center" vertical="center"/>
    </xf>
    <xf numFmtId="3" fontId="11" fillId="3" borderId="88" xfId="0" applyNumberFormat="1" applyFont="1" applyFill="1" applyBorder="1" applyAlignment="1">
      <alignment horizontal="center" vertical="center" textRotation="90"/>
    </xf>
    <xf numFmtId="3" fontId="14" fillId="3" borderId="60" xfId="0" applyNumberFormat="1" applyFont="1" applyFill="1" applyBorder="1" applyAlignment="1">
      <alignment horizontal="center" vertical="center"/>
    </xf>
    <xf numFmtId="3" fontId="38" fillId="3" borderId="62" xfId="0" applyNumberFormat="1" applyFont="1" applyFill="1" applyBorder="1" applyAlignment="1">
      <alignment horizontal="center" vertical="center"/>
    </xf>
    <xf numFmtId="3" fontId="11" fillId="3" borderId="39" xfId="0" applyNumberFormat="1" applyFont="1" applyFill="1" applyBorder="1" applyAlignment="1">
      <alignment horizontal="center" vertical="center"/>
    </xf>
    <xf numFmtId="3" fontId="6" fillId="3" borderId="72" xfId="0" applyNumberFormat="1" applyFont="1" applyFill="1" applyBorder="1" applyAlignment="1">
      <alignment horizontal="center" vertical="center"/>
    </xf>
    <xf numFmtId="3" fontId="6" fillId="3" borderId="71" xfId="0" applyNumberFormat="1" applyFont="1" applyFill="1" applyBorder="1" applyAlignment="1">
      <alignment horizontal="center" vertical="center"/>
    </xf>
    <xf numFmtId="3" fontId="38" fillId="3" borderId="55" xfId="0" applyNumberFormat="1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11" fillId="7" borderId="4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1" fillId="7" borderId="47" xfId="0" applyFont="1" applyFill="1" applyBorder="1" applyAlignment="1">
      <alignment horizontal="center" vertical="center"/>
    </xf>
    <xf numFmtId="0" fontId="11" fillId="7" borderId="43" xfId="0" applyFont="1" applyFill="1" applyBorder="1" applyAlignment="1">
      <alignment horizontal="center" vertical="center"/>
    </xf>
    <xf numFmtId="3" fontId="9" fillId="7" borderId="52" xfId="0" applyNumberFormat="1" applyFont="1" applyFill="1" applyBorder="1" applyAlignment="1">
      <alignment horizontal="center" vertical="center"/>
    </xf>
    <xf numFmtId="3" fontId="9" fillId="7" borderId="60" xfId="0" applyNumberFormat="1" applyFont="1" applyFill="1" applyBorder="1" applyAlignment="1">
      <alignment horizontal="center" vertical="center"/>
    </xf>
    <xf numFmtId="3" fontId="9" fillId="7" borderId="61" xfId="0" applyNumberFormat="1" applyFont="1" applyFill="1" applyBorder="1" applyAlignment="1">
      <alignment horizontal="center" vertical="center"/>
    </xf>
    <xf numFmtId="3" fontId="38" fillId="7" borderId="52" xfId="0" applyNumberFormat="1" applyFont="1" applyFill="1" applyBorder="1" applyAlignment="1">
      <alignment horizontal="center" vertical="center"/>
    </xf>
    <xf numFmtId="3" fontId="38" fillId="7" borderId="60" xfId="0" applyNumberFormat="1" applyFont="1" applyFill="1" applyBorder="1" applyAlignment="1">
      <alignment horizontal="center" vertical="center"/>
    </xf>
    <xf numFmtId="3" fontId="38" fillId="7" borderId="61" xfId="0" applyNumberFormat="1" applyFont="1" applyFill="1" applyBorder="1" applyAlignment="1">
      <alignment horizontal="center" vertical="center"/>
    </xf>
    <xf numFmtId="3" fontId="38" fillId="7" borderId="58" xfId="0" applyNumberFormat="1" applyFont="1" applyFill="1" applyBorder="1" applyAlignment="1">
      <alignment horizontal="center" vertical="center"/>
    </xf>
    <xf numFmtId="3" fontId="9" fillId="7" borderId="87" xfId="0" applyNumberFormat="1" applyFont="1" applyFill="1" applyBorder="1" applyAlignment="1">
      <alignment horizontal="center" vertical="center"/>
    </xf>
    <xf numFmtId="3" fontId="9" fillId="7" borderId="92" xfId="0" applyNumberFormat="1" applyFont="1" applyFill="1" applyBorder="1" applyAlignment="1">
      <alignment horizontal="center" vertical="center"/>
    </xf>
    <xf numFmtId="3" fontId="7" fillId="7" borderId="100" xfId="0" applyNumberFormat="1" applyFont="1" applyFill="1" applyBorder="1" applyAlignment="1">
      <alignment horizontal="center" vertical="center"/>
    </xf>
    <xf numFmtId="3" fontId="7" fillId="7" borderId="111" xfId="0" applyNumberFormat="1" applyFont="1" applyFill="1" applyBorder="1" applyAlignment="1">
      <alignment horizontal="center" vertical="center"/>
    </xf>
    <xf numFmtId="3" fontId="7" fillId="7" borderId="84" xfId="0" applyNumberFormat="1" applyFont="1" applyFill="1" applyBorder="1" applyAlignment="1">
      <alignment horizontal="center" vertical="center"/>
    </xf>
    <xf numFmtId="3" fontId="6" fillId="45" borderId="71" xfId="0" applyNumberFormat="1" applyFont="1" applyFill="1" applyBorder="1" applyAlignment="1">
      <alignment horizontal="center" vertical="center"/>
    </xf>
    <xf numFmtId="3" fontId="6" fillId="45" borderId="100" xfId="0" applyNumberFormat="1" applyFont="1" applyFill="1" applyBorder="1" applyAlignment="1">
      <alignment horizontal="center" vertical="center"/>
    </xf>
    <xf numFmtId="3" fontId="6" fillId="45" borderId="85" xfId="0" applyNumberFormat="1" applyFont="1" applyFill="1" applyBorder="1" applyAlignment="1">
      <alignment horizontal="center" vertical="center"/>
    </xf>
    <xf numFmtId="3" fontId="6" fillId="45" borderId="72" xfId="0" applyNumberFormat="1" applyFont="1" applyFill="1" applyBorder="1" applyAlignment="1">
      <alignment horizontal="center" vertical="center"/>
    </xf>
    <xf numFmtId="0" fontId="11" fillId="46" borderId="34" xfId="0" applyFont="1" applyFill="1" applyBorder="1" applyAlignment="1">
      <alignment horizontal="center" vertical="center" wrapText="1"/>
    </xf>
    <xf numFmtId="0" fontId="11" fillId="46" borderId="5" xfId="0" applyFont="1" applyFill="1" applyBorder="1" applyAlignment="1">
      <alignment horizontal="center" vertical="center" wrapText="1"/>
    </xf>
    <xf numFmtId="3" fontId="11" fillId="46" borderId="24" xfId="0" applyNumberFormat="1" applyFont="1" applyFill="1" applyBorder="1" applyAlignment="1">
      <alignment horizontal="center" vertical="center" wrapText="1"/>
    </xf>
    <xf numFmtId="0" fontId="11" fillId="46" borderId="36" xfId="0" applyFont="1" applyFill="1" applyBorder="1" applyAlignment="1">
      <alignment horizontal="center" vertical="center"/>
    </xf>
    <xf numFmtId="3" fontId="11" fillId="46" borderId="37" xfId="0" applyNumberFormat="1" applyFont="1" applyFill="1" applyBorder="1" applyAlignment="1">
      <alignment horizontal="center" vertical="center"/>
    </xf>
    <xf numFmtId="0" fontId="11" fillId="46" borderId="39" xfId="0" applyFont="1" applyFill="1" applyBorder="1" applyAlignment="1">
      <alignment horizontal="center" vertical="center"/>
    </xf>
    <xf numFmtId="3" fontId="9" fillId="46" borderId="65" xfId="0" applyNumberFormat="1" applyFont="1" applyFill="1" applyBorder="1" applyAlignment="1">
      <alignment horizontal="center" vertical="center"/>
    </xf>
    <xf numFmtId="168" fontId="9" fillId="46" borderId="53" xfId="0" applyNumberFormat="1" applyFont="1" applyFill="1" applyBorder="1" applyAlignment="1">
      <alignment horizontal="center" vertical="center"/>
    </xf>
    <xf numFmtId="3" fontId="9" fillId="46" borderId="55" xfId="0" applyNumberFormat="1" applyFont="1" applyFill="1" applyBorder="1" applyAlignment="1">
      <alignment horizontal="center" vertical="center"/>
    </xf>
    <xf numFmtId="3" fontId="38" fillId="46" borderId="65" xfId="0" applyNumberFormat="1" applyFont="1" applyFill="1" applyBorder="1" applyAlignment="1">
      <alignment horizontal="center" vertical="center"/>
    </xf>
    <xf numFmtId="168" fontId="38" fillId="46" borderId="53" xfId="0" applyNumberFormat="1" applyFont="1" applyFill="1" applyBorder="1" applyAlignment="1">
      <alignment horizontal="center" vertical="center"/>
    </xf>
    <xf numFmtId="3" fontId="38" fillId="46" borderId="55" xfId="0" applyNumberFormat="1" applyFont="1" applyFill="1" applyBorder="1" applyAlignment="1">
      <alignment horizontal="center" vertical="center"/>
    </xf>
    <xf numFmtId="3" fontId="7" fillId="46" borderId="69" xfId="0" applyNumberFormat="1" applyFont="1" applyFill="1" applyBorder="1" applyAlignment="1">
      <alignment horizontal="center" vertical="center"/>
    </xf>
    <xf numFmtId="3" fontId="7" fillId="46" borderId="85" xfId="0" applyNumberFormat="1" applyFont="1" applyFill="1" applyBorder="1" applyAlignment="1">
      <alignment horizontal="center" vertical="center"/>
    </xf>
    <xf numFmtId="3" fontId="7" fillId="46" borderId="84" xfId="0" applyNumberFormat="1" applyFont="1" applyFill="1" applyBorder="1" applyAlignment="1">
      <alignment horizontal="center" vertical="center"/>
    </xf>
    <xf numFmtId="3" fontId="9" fillId="46" borderId="53" xfId="0" applyNumberFormat="1" applyFont="1" applyFill="1" applyBorder="1" applyAlignment="1">
      <alignment horizontal="center" vertical="center"/>
    </xf>
    <xf numFmtId="3" fontId="11" fillId="44" borderId="23" xfId="0" applyNumberFormat="1" applyFont="1" applyFill="1" applyBorder="1" applyAlignment="1">
      <alignment horizontal="center" vertical="center" wrapText="1"/>
    </xf>
    <xf numFmtId="3" fontId="11" fillId="44" borderId="49" xfId="0" applyNumberFormat="1" applyFont="1" applyFill="1" applyBorder="1" applyAlignment="1">
      <alignment horizontal="center" vertical="center"/>
    </xf>
    <xf numFmtId="3" fontId="9" fillId="44" borderId="64" xfId="0" applyNumberFormat="1" applyFont="1" applyFill="1" applyBorder="1" applyAlignment="1">
      <alignment horizontal="center" vertical="center"/>
    </xf>
    <xf numFmtId="3" fontId="11" fillId="44" borderId="37" xfId="0" applyNumberFormat="1" applyFont="1" applyFill="1" applyBorder="1" applyAlignment="1">
      <alignment horizontal="center" vertical="center"/>
    </xf>
    <xf numFmtId="3" fontId="9" fillId="44" borderId="53" xfId="0" applyNumberFormat="1" applyFont="1" applyFill="1" applyBorder="1" applyAlignment="1">
      <alignment horizontal="center" vertical="center"/>
    </xf>
    <xf numFmtId="3" fontId="7" fillId="44" borderId="70" xfId="0" applyNumberFormat="1" applyFont="1" applyFill="1" applyBorder="1" applyAlignment="1">
      <alignment horizontal="center" vertical="center"/>
    </xf>
    <xf numFmtId="3" fontId="7" fillId="44" borderId="83" xfId="0" applyNumberFormat="1" applyFont="1" applyFill="1" applyBorder="1" applyAlignment="1">
      <alignment horizontal="center" vertical="center"/>
    </xf>
    <xf numFmtId="3" fontId="11" fillId="44" borderId="34" xfId="0" applyNumberFormat="1" applyFont="1" applyFill="1" applyBorder="1" applyAlignment="1">
      <alignment horizontal="center" vertical="center" wrapText="1"/>
    </xf>
    <xf numFmtId="3" fontId="11" fillId="44" borderId="36" xfId="0" applyNumberFormat="1" applyFont="1" applyFill="1" applyBorder="1" applyAlignment="1">
      <alignment horizontal="center" vertical="center"/>
    </xf>
    <xf numFmtId="170" fontId="9" fillId="44" borderId="65" xfId="0" applyNumberFormat="1" applyFont="1" applyFill="1" applyBorder="1" applyAlignment="1">
      <alignment horizontal="center" vertical="center"/>
    </xf>
    <xf numFmtId="3" fontId="7" fillId="44" borderId="113" xfId="0" applyNumberFormat="1" applyFont="1" applyFill="1" applyBorder="1" applyAlignment="1">
      <alignment horizontal="center" vertical="center"/>
    </xf>
    <xf numFmtId="168" fontId="9" fillId="44" borderId="53" xfId="0" applyNumberFormat="1" applyFont="1" applyFill="1" applyBorder="1" applyAlignment="1">
      <alignment horizontal="center" vertical="center"/>
    </xf>
    <xf numFmtId="3" fontId="11" fillId="10" borderId="23" xfId="0" applyNumberFormat="1" applyFont="1" applyFill="1" applyBorder="1" applyAlignment="1">
      <alignment horizontal="center" vertical="center" wrapText="1"/>
    </xf>
    <xf numFmtId="0" fontId="11" fillId="10" borderId="49" xfId="0" applyFont="1" applyFill="1" applyBorder="1" applyAlignment="1">
      <alignment horizontal="center" vertical="center"/>
    </xf>
    <xf numFmtId="3" fontId="9" fillId="10" borderId="64" xfId="0" applyNumberFormat="1" applyFont="1" applyFill="1" applyBorder="1" applyAlignment="1">
      <alignment horizontal="center" vertical="center"/>
    </xf>
    <xf numFmtId="3" fontId="9" fillId="10" borderId="53" xfId="0" applyNumberFormat="1" applyFont="1" applyFill="1" applyBorder="1" applyAlignment="1">
      <alignment horizontal="center" vertical="center"/>
    </xf>
    <xf numFmtId="3" fontId="7" fillId="10" borderId="70" xfId="0" applyNumberFormat="1" applyFont="1" applyFill="1" applyBorder="1" applyAlignment="1">
      <alignment horizontal="center" vertical="center"/>
    </xf>
    <xf numFmtId="3" fontId="11" fillId="7" borderId="34" xfId="0" applyNumberFormat="1" applyFont="1" applyFill="1" applyBorder="1" applyAlignment="1">
      <alignment horizontal="center" vertical="center" wrapText="1"/>
    </xf>
    <xf numFmtId="3" fontId="11" fillId="7" borderId="36" xfId="0" applyNumberFormat="1" applyFont="1" applyFill="1" applyBorder="1" applyAlignment="1">
      <alignment horizontal="center" vertical="center"/>
    </xf>
    <xf numFmtId="170" fontId="9" fillId="7" borderId="65" xfId="0" applyNumberFormat="1" applyFont="1" applyFill="1" applyBorder="1" applyAlignment="1">
      <alignment horizontal="center" vertical="center"/>
    </xf>
    <xf numFmtId="3" fontId="7" fillId="7" borderId="69" xfId="0" applyNumberFormat="1" applyFont="1" applyFill="1" applyBorder="1" applyAlignment="1">
      <alignment horizontal="center" vertical="center"/>
    </xf>
    <xf numFmtId="3" fontId="11" fillId="7" borderId="1" xfId="0" applyNumberFormat="1" applyFont="1" applyFill="1" applyBorder="1" applyAlignment="1">
      <alignment horizontal="center" vertical="center" wrapText="1"/>
    </xf>
    <xf numFmtId="3" fontId="11" fillId="7" borderId="37" xfId="0" applyNumberFormat="1" applyFont="1" applyFill="1" applyBorder="1" applyAlignment="1">
      <alignment horizontal="center" vertical="center"/>
    </xf>
    <xf numFmtId="3" fontId="9" fillId="7" borderId="53" xfId="0" applyNumberFormat="1" applyFont="1" applyFill="1" applyBorder="1" applyAlignment="1">
      <alignment horizontal="center" vertical="center"/>
    </xf>
    <xf numFmtId="3" fontId="7" fillId="7" borderId="70" xfId="0" applyNumberFormat="1" applyFont="1" applyFill="1" applyBorder="1" applyAlignment="1">
      <alignment horizontal="center" vertical="center"/>
    </xf>
    <xf numFmtId="168" fontId="9" fillId="7" borderId="53" xfId="0" applyNumberFormat="1" applyFont="1" applyFill="1" applyBorder="1" applyAlignment="1">
      <alignment horizontal="center" vertical="center"/>
    </xf>
    <xf numFmtId="3" fontId="11" fillId="7" borderId="23" xfId="0" applyNumberFormat="1" applyFont="1" applyFill="1" applyBorder="1" applyAlignment="1">
      <alignment horizontal="center" vertical="center" wrapText="1"/>
    </xf>
    <xf numFmtId="3" fontId="11" fillId="7" borderId="49" xfId="0" applyNumberFormat="1" applyFont="1" applyFill="1" applyBorder="1" applyAlignment="1">
      <alignment horizontal="center" vertical="center"/>
    </xf>
    <xf numFmtId="3" fontId="11" fillId="44" borderId="114" xfId="0" applyNumberFormat="1" applyFont="1" applyFill="1" applyBorder="1" applyAlignment="1">
      <alignment horizontal="center" vertical="center"/>
    </xf>
    <xf numFmtId="3" fontId="9" fillId="44" borderId="115" xfId="0" applyNumberFormat="1" applyFont="1" applyFill="1" applyBorder="1" applyAlignment="1">
      <alignment horizontal="center" vertical="center"/>
    </xf>
    <xf numFmtId="3" fontId="11" fillId="44" borderId="22" xfId="0" applyNumberFormat="1" applyFont="1" applyFill="1" applyBorder="1" applyAlignment="1">
      <alignment horizontal="center" vertical="center" wrapText="1"/>
    </xf>
    <xf numFmtId="3" fontId="11" fillId="44" borderId="42" xfId="0" applyNumberFormat="1" applyFont="1" applyFill="1" applyBorder="1" applyAlignment="1">
      <alignment horizontal="center" vertical="center"/>
    </xf>
    <xf numFmtId="3" fontId="9" fillId="44" borderId="57" xfId="0" applyNumberFormat="1" applyFont="1" applyFill="1" applyBorder="1" applyAlignment="1">
      <alignment horizontal="center" vertical="center"/>
    </xf>
    <xf numFmtId="0" fontId="11" fillId="44" borderId="42" xfId="0" applyFont="1" applyFill="1" applyBorder="1" applyAlignment="1">
      <alignment horizontal="center" vertical="center"/>
    </xf>
    <xf numFmtId="3" fontId="7" fillId="44" borderId="120" xfId="0" applyNumberFormat="1" applyFont="1" applyFill="1" applyBorder="1" applyAlignment="1">
      <alignment horizontal="center" vertical="center"/>
    </xf>
    <xf numFmtId="168" fontId="9" fillId="44" borderId="115" xfId="0" applyNumberFormat="1" applyFont="1" applyFill="1" applyBorder="1" applyAlignment="1">
      <alignment horizontal="center" vertical="center"/>
    </xf>
    <xf numFmtId="170" fontId="9" fillId="44" borderId="53" xfId="0" applyNumberFormat="1" applyFont="1" applyFill="1" applyBorder="1" applyAlignment="1">
      <alignment horizontal="center" vertical="center"/>
    </xf>
    <xf numFmtId="2" fontId="19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44" borderId="21" xfId="0" applyFont="1" applyFill="1" applyBorder="1" applyAlignment="1">
      <alignment horizontal="center" vertical="center" textRotation="90" wrapText="1"/>
    </xf>
    <xf numFmtId="0" fontId="11" fillId="44" borderId="6" xfId="0" applyFont="1" applyFill="1" applyBorder="1" applyAlignment="1">
      <alignment horizontal="center" vertical="center" textRotation="90" wrapText="1"/>
    </xf>
    <xf numFmtId="0" fontId="11" fillId="44" borderId="5" xfId="0" applyFont="1" applyFill="1" applyBorder="1" applyAlignment="1">
      <alignment horizontal="center" vertical="center" textRotation="90" wrapText="1"/>
    </xf>
    <xf numFmtId="0" fontId="11" fillId="44" borderId="23" xfId="0" applyFont="1" applyFill="1" applyBorder="1" applyAlignment="1">
      <alignment horizontal="center" vertical="center" textRotation="90" wrapText="1"/>
    </xf>
    <xf numFmtId="0" fontId="37" fillId="3" borderId="5" xfId="0" applyFont="1" applyFill="1" applyBorder="1" applyAlignment="1">
      <alignment horizontal="center" vertical="center" wrapText="1"/>
    </xf>
    <xf numFmtId="0" fontId="37" fillId="3" borderId="6" xfId="0" applyFont="1" applyFill="1" applyBorder="1" applyAlignment="1">
      <alignment horizontal="center" vertical="center" wrapText="1"/>
    </xf>
    <xf numFmtId="168" fontId="6" fillId="6" borderId="11" xfId="0" applyNumberFormat="1" applyFont="1" applyFill="1" applyBorder="1" applyAlignment="1">
      <alignment horizontal="center" vertical="center" wrapText="1"/>
    </xf>
    <xf numFmtId="168" fontId="6" fillId="6" borderId="12" xfId="0" applyNumberFormat="1" applyFont="1" applyFill="1" applyBorder="1" applyAlignment="1">
      <alignment horizontal="center" vertical="center" wrapText="1"/>
    </xf>
    <xf numFmtId="168" fontId="6" fillId="6" borderId="94" xfId="0" applyNumberFormat="1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3" fontId="6" fillId="6" borderId="21" xfId="0" applyNumberFormat="1" applyFont="1" applyFill="1" applyBorder="1" applyAlignment="1">
      <alignment horizontal="center" vertical="center" wrapText="1"/>
    </xf>
    <xf numFmtId="3" fontId="6" fillId="6" borderId="6" xfId="0" applyNumberFormat="1" applyFont="1" applyFill="1" applyBorder="1" applyAlignment="1">
      <alignment horizontal="center" vertical="center" wrapText="1"/>
    </xf>
    <xf numFmtId="3" fontId="6" fillId="6" borderId="5" xfId="0" applyNumberFormat="1" applyFont="1" applyFill="1" applyBorder="1" applyAlignment="1">
      <alignment horizontal="center" vertical="center" wrapText="1"/>
    </xf>
    <xf numFmtId="3" fontId="6" fillId="6" borderId="18" xfId="0" applyNumberFormat="1" applyFont="1" applyFill="1" applyBorder="1" applyAlignment="1">
      <alignment horizontal="center" vertical="center"/>
    </xf>
    <xf numFmtId="3" fontId="6" fillId="6" borderId="19" xfId="0" applyNumberFormat="1" applyFont="1" applyFill="1" applyBorder="1" applyAlignment="1">
      <alignment horizontal="center" vertical="center"/>
    </xf>
    <xf numFmtId="3" fontId="6" fillId="6" borderId="95" xfId="0" applyNumberFormat="1" applyFont="1" applyFill="1" applyBorder="1" applyAlignment="1">
      <alignment horizontal="center" vertical="center"/>
    </xf>
    <xf numFmtId="3" fontId="6" fillId="6" borderId="8" xfId="0" applyNumberFormat="1" applyFont="1" applyFill="1" applyBorder="1" applyAlignment="1">
      <alignment horizontal="center" vertical="center" wrapText="1"/>
    </xf>
    <xf numFmtId="3" fontId="6" fillId="6" borderId="9" xfId="0" applyNumberFormat="1" applyFont="1" applyFill="1" applyBorder="1" applyAlignment="1">
      <alignment horizontal="center" vertical="center" wrapText="1"/>
    </xf>
    <xf numFmtId="3" fontId="6" fillId="6" borderId="10" xfId="0" applyNumberFormat="1" applyFont="1" applyFill="1" applyBorder="1" applyAlignment="1">
      <alignment horizontal="center" vertical="center" wrapText="1"/>
    </xf>
    <xf numFmtId="3" fontId="6" fillId="6" borderId="18" xfId="0" applyNumberFormat="1" applyFont="1" applyFill="1" applyBorder="1" applyAlignment="1">
      <alignment horizontal="center" vertical="center" wrapText="1"/>
    </xf>
    <xf numFmtId="3" fontId="6" fillId="6" borderId="19" xfId="0" applyNumberFormat="1" applyFont="1" applyFill="1" applyBorder="1" applyAlignment="1">
      <alignment horizontal="center" vertical="center" wrapText="1"/>
    </xf>
    <xf numFmtId="3" fontId="6" fillId="6" borderId="20" xfId="0" applyNumberFormat="1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3" fontId="6" fillId="6" borderId="14" xfId="0" applyNumberFormat="1" applyFont="1" applyFill="1" applyBorder="1" applyAlignment="1">
      <alignment horizontal="center" vertical="center" wrapText="1"/>
    </xf>
    <xf numFmtId="3" fontId="6" fillId="6" borderId="15" xfId="0" applyNumberFormat="1" applyFont="1" applyFill="1" applyBorder="1" applyAlignment="1">
      <alignment horizontal="center" vertical="center" wrapText="1"/>
    </xf>
    <xf numFmtId="3" fontId="6" fillId="6" borderId="16" xfId="0" applyNumberFormat="1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3" fontId="6" fillId="5" borderId="8" xfId="0" applyNumberFormat="1" applyFont="1" applyFill="1" applyBorder="1" applyAlignment="1">
      <alignment horizontal="center" vertical="center" wrapText="1"/>
    </xf>
    <xf numFmtId="3" fontId="6" fillId="5" borderId="9" xfId="0" applyNumberFormat="1" applyFont="1" applyFill="1" applyBorder="1" applyAlignment="1">
      <alignment horizontal="center" vertical="center" wrapText="1"/>
    </xf>
    <xf numFmtId="3" fontId="6" fillId="5" borderId="10" xfId="0" applyNumberFormat="1" applyFont="1" applyFill="1" applyBorder="1" applyAlignment="1">
      <alignment horizontal="center" vertical="center" wrapText="1"/>
    </xf>
    <xf numFmtId="3" fontId="6" fillId="5" borderId="18" xfId="0" applyNumberFormat="1" applyFont="1" applyFill="1" applyBorder="1" applyAlignment="1">
      <alignment horizontal="center" vertical="center" wrapText="1"/>
    </xf>
    <xf numFmtId="3" fontId="6" fillId="5" borderId="19" xfId="0" applyNumberFormat="1" applyFont="1" applyFill="1" applyBorder="1" applyAlignment="1">
      <alignment horizontal="center" vertical="center" wrapText="1"/>
    </xf>
    <xf numFmtId="3" fontId="6" fillId="5" borderId="20" xfId="0" applyNumberFormat="1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 textRotation="90" wrapText="1"/>
    </xf>
    <xf numFmtId="0" fontId="11" fillId="7" borderId="6" xfId="0" applyFont="1" applyFill="1" applyBorder="1" applyAlignment="1">
      <alignment horizontal="center" vertical="center" textRotation="90" wrapText="1"/>
    </xf>
    <xf numFmtId="0" fontId="11" fillId="7" borderId="5" xfId="0" applyFont="1" applyFill="1" applyBorder="1" applyAlignment="1">
      <alignment horizontal="center" vertical="center" textRotation="90" wrapText="1"/>
    </xf>
    <xf numFmtId="0" fontId="11" fillId="7" borderId="22" xfId="0" applyFont="1" applyFill="1" applyBorder="1" applyAlignment="1">
      <alignment horizontal="center" vertical="center" textRotation="90" wrapText="1"/>
    </xf>
    <xf numFmtId="0" fontId="11" fillId="7" borderId="23" xfId="0" applyFont="1" applyFill="1" applyBorder="1" applyAlignment="1">
      <alignment horizontal="center" vertical="center" textRotation="90" wrapText="1"/>
    </xf>
    <xf numFmtId="3" fontId="6" fillId="5" borderId="11" xfId="0" applyNumberFormat="1" applyFont="1" applyFill="1" applyBorder="1" applyAlignment="1">
      <alignment horizontal="center" vertical="center" wrapText="1"/>
    </xf>
    <xf numFmtId="3" fontId="6" fillId="5" borderId="12" xfId="0" applyNumberFormat="1" applyFont="1" applyFill="1" applyBorder="1" applyAlignment="1">
      <alignment horizontal="center" vertical="center" wrapText="1"/>
    </xf>
    <xf numFmtId="3" fontId="6" fillId="5" borderId="13" xfId="0" applyNumberFormat="1" applyFont="1" applyFill="1" applyBorder="1" applyAlignment="1">
      <alignment horizontal="center" vertical="center" wrapText="1"/>
    </xf>
    <xf numFmtId="0" fontId="11" fillId="44" borderId="22" xfId="0" applyFont="1" applyFill="1" applyBorder="1" applyAlignment="1">
      <alignment horizontal="center" vertical="center" textRotation="90" wrapText="1"/>
    </xf>
    <xf numFmtId="0" fontId="11" fillId="3" borderId="21" xfId="0" applyFont="1" applyFill="1" applyBorder="1" applyAlignment="1">
      <alignment horizontal="center" vertical="center" wrapText="1"/>
    </xf>
    <xf numFmtId="3" fontId="6" fillId="6" borderId="116" xfId="0" applyNumberFormat="1" applyFont="1" applyFill="1" applyBorder="1" applyAlignment="1">
      <alignment horizontal="center" vertical="center" wrapText="1"/>
    </xf>
    <xf numFmtId="3" fontId="6" fillId="6" borderId="117" xfId="0" applyNumberFormat="1" applyFont="1" applyFill="1" applyBorder="1" applyAlignment="1">
      <alignment horizontal="center" vertical="center" wrapText="1"/>
    </xf>
    <xf numFmtId="3" fontId="6" fillId="6" borderId="118" xfId="0" applyNumberFormat="1" applyFont="1" applyFill="1" applyBorder="1" applyAlignment="1">
      <alignment horizontal="center" vertical="center" wrapText="1"/>
    </xf>
    <xf numFmtId="3" fontId="6" fillId="6" borderId="27" xfId="0" applyNumberFormat="1" applyFont="1" applyFill="1" applyBorder="1" applyAlignment="1">
      <alignment horizontal="center" vertical="center" wrapText="1"/>
    </xf>
    <xf numFmtId="3" fontId="6" fillId="6" borderId="119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2" fontId="19" fillId="0" borderId="3" xfId="0" applyNumberFormat="1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2" fontId="4" fillId="0" borderId="3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colors>
    <mruColors>
      <color rgb="FFE1E1FF"/>
      <color rgb="FFCCECFF"/>
      <color rgb="FFFFCCFF"/>
      <color rgb="FFCC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437FB-A739-4B8B-B6BD-4700768D21FB}">
  <sheetPr>
    <pageSetUpPr fitToPage="1"/>
  </sheetPr>
  <dimension ref="B3:I49"/>
  <sheetViews>
    <sheetView tabSelected="1" view="pageBreakPreview" zoomScale="85" zoomScaleNormal="85" zoomScaleSheetLayoutView="85" workbookViewId="0">
      <selection activeCell="C8" sqref="C8"/>
    </sheetView>
  </sheetViews>
  <sheetFormatPr baseColWidth="10" defaultColWidth="9.140625" defaultRowHeight="15" x14ac:dyDescent="0.25"/>
  <cols>
    <col min="1" max="1" width="3.140625" customWidth="1"/>
    <col min="2" max="2" width="49.85546875" bestFit="1" customWidth="1"/>
    <col min="3" max="3" width="73.85546875" style="2" bestFit="1" customWidth="1"/>
    <col min="4" max="5" width="12.42578125" style="2" bestFit="1" customWidth="1"/>
    <col min="6" max="6" width="24.42578125" style="2" customWidth="1"/>
    <col min="7" max="7" width="12.42578125" style="2" bestFit="1" customWidth="1"/>
    <col min="8" max="8" width="14.42578125" style="2" bestFit="1" customWidth="1"/>
    <col min="9" max="9" width="74.7109375" style="2" customWidth="1"/>
    <col min="10" max="10" width="16" customWidth="1"/>
  </cols>
  <sheetData>
    <row r="3" spans="2:9" ht="38.25" customHeight="1" x14ac:dyDescent="0.25">
      <c r="C3" s="196" t="s">
        <v>17</v>
      </c>
      <c r="D3" s="197" t="s">
        <v>2</v>
      </c>
      <c r="E3" s="197" t="s">
        <v>10</v>
      </c>
      <c r="F3" s="196" t="s">
        <v>156</v>
      </c>
      <c r="G3" s="197" t="s">
        <v>26</v>
      </c>
      <c r="H3" s="197" t="s">
        <v>252</v>
      </c>
      <c r="I3" s="196" t="s">
        <v>1</v>
      </c>
    </row>
    <row r="4" spans="2:9" ht="18.75" x14ac:dyDescent="0.3">
      <c r="C4" s="198"/>
      <c r="D4" s="198" t="s">
        <v>0</v>
      </c>
      <c r="E4" s="198" t="s">
        <v>0</v>
      </c>
      <c r="F4" s="198"/>
      <c r="G4" s="198" t="s">
        <v>0</v>
      </c>
      <c r="H4" s="198" t="s">
        <v>143</v>
      </c>
      <c r="I4" s="199"/>
    </row>
    <row r="5" spans="2:9" s="1" customFormat="1" ht="15.75" x14ac:dyDescent="0.25">
      <c r="B5" s="207" t="s">
        <v>255</v>
      </c>
      <c r="C5" s="208"/>
      <c r="D5" s="208"/>
      <c r="E5" s="208"/>
      <c r="F5" s="208"/>
      <c r="G5" s="208"/>
      <c r="H5" s="208"/>
      <c r="I5" s="209"/>
    </row>
    <row r="6" spans="2:9" ht="150" customHeight="1" x14ac:dyDescent="0.25">
      <c r="B6" s="388" t="s">
        <v>3</v>
      </c>
      <c r="C6" s="466" t="s">
        <v>247</v>
      </c>
      <c r="D6" s="467">
        <f>'HAEF Bilan CVC pièce par pièce'!AK13/1000</f>
        <v>12.7896</v>
      </c>
      <c r="E6" s="467">
        <f>'HAEF Bilan CVC pièce par pièce'!AM13/1000</f>
        <v>8.3445999999999998</v>
      </c>
      <c r="F6" s="454" t="s">
        <v>249</v>
      </c>
      <c r="G6" s="464">
        <v>12.9</v>
      </c>
      <c r="H6" s="470" t="s">
        <v>248</v>
      </c>
      <c r="I6" s="471" t="s">
        <v>251</v>
      </c>
    </row>
    <row r="7" spans="2:9" ht="25.5" x14ac:dyDescent="0.25">
      <c r="B7" s="389"/>
      <c r="C7" s="3" t="s">
        <v>9</v>
      </c>
      <c r="D7" s="4"/>
      <c r="E7" s="4">
        <v>2.9</v>
      </c>
      <c r="F7" s="3" t="s">
        <v>149</v>
      </c>
      <c r="G7" s="4">
        <v>0.1</v>
      </c>
      <c r="H7" s="216" t="s">
        <v>152</v>
      </c>
      <c r="I7" s="5" t="s">
        <v>148</v>
      </c>
    </row>
    <row r="8" spans="2:9" ht="50.1" customHeight="1" x14ac:dyDescent="0.25">
      <c r="B8" s="6" t="s">
        <v>5</v>
      </c>
      <c r="C8" s="215" t="s">
        <v>138</v>
      </c>
      <c r="D8" s="4"/>
      <c r="E8" s="4"/>
      <c r="F8" s="3" t="s">
        <v>167</v>
      </c>
      <c r="G8" s="4">
        <v>0.2</v>
      </c>
      <c r="H8" s="216" t="s">
        <v>150</v>
      </c>
      <c r="I8" s="5"/>
    </row>
    <row r="9" spans="2:9" ht="89.25" x14ac:dyDescent="0.25">
      <c r="B9" s="7" t="s">
        <v>144</v>
      </c>
      <c r="C9" s="3" t="s">
        <v>14</v>
      </c>
      <c r="D9" s="4"/>
      <c r="E9" s="4">
        <f>((150*60)*1.163)*5/1000</f>
        <v>52.335000000000001</v>
      </c>
      <c r="F9" s="3" t="s">
        <v>151</v>
      </c>
      <c r="G9" s="4">
        <f>ROUND(400*10*SQRT(3)/1000,1)</f>
        <v>6.9</v>
      </c>
      <c r="H9" s="216" t="s">
        <v>153</v>
      </c>
      <c r="I9" s="11" t="s">
        <v>154</v>
      </c>
    </row>
    <row r="10" spans="2:9" ht="50.1" customHeight="1" x14ac:dyDescent="0.25">
      <c r="B10" s="473" t="s">
        <v>7</v>
      </c>
      <c r="C10" s="454" t="s">
        <v>159</v>
      </c>
      <c r="D10" s="455"/>
      <c r="E10" s="455"/>
      <c r="F10" s="454" t="s">
        <v>155</v>
      </c>
      <c r="G10" s="455">
        <v>0.4</v>
      </c>
      <c r="H10" s="456" t="s">
        <v>150</v>
      </c>
      <c r="I10" s="457"/>
    </row>
    <row r="11" spans="2:9" ht="50.1" customHeight="1" x14ac:dyDescent="0.25">
      <c r="B11" s="7" t="s">
        <v>142</v>
      </c>
      <c r="C11" s="3" t="s">
        <v>158</v>
      </c>
      <c r="D11" s="4"/>
      <c r="E11" s="4"/>
      <c r="F11" s="3" t="s">
        <v>160</v>
      </c>
      <c r="G11" s="4">
        <v>0.5</v>
      </c>
      <c r="H11" s="216" t="s">
        <v>150</v>
      </c>
      <c r="I11" s="5"/>
    </row>
    <row r="12" spans="2:9" ht="50.1" customHeight="1" x14ac:dyDescent="0.25">
      <c r="B12" s="7" t="s">
        <v>12</v>
      </c>
      <c r="C12" s="3" t="s">
        <v>13</v>
      </c>
      <c r="D12" s="4"/>
      <c r="E12" s="4"/>
      <c r="F12" s="3" t="s">
        <v>161</v>
      </c>
      <c r="G12" s="4">
        <v>2</v>
      </c>
      <c r="H12" s="216" t="s">
        <v>150</v>
      </c>
      <c r="I12" s="5"/>
    </row>
    <row r="13" spans="2:9" s="1" customFormat="1" ht="15.75" x14ac:dyDescent="0.25">
      <c r="B13" s="213" t="s">
        <v>184</v>
      </c>
      <c r="C13" s="208"/>
      <c r="D13" s="208"/>
      <c r="E13" s="208"/>
      <c r="F13" s="208"/>
      <c r="G13" s="208"/>
      <c r="H13" s="208"/>
      <c r="I13" s="209"/>
    </row>
    <row r="14" spans="2:9" ht="53.25" customHeight="1" x14ac:dyDescent="0.25">
      <c r="B14" s="6" t="s">
        <v>145</v>
      </c>
      <c r="C14" s="3" t="s">
        <v>25</v>
      </c>
      <c r="D14" s="4"/>
      <c r="E14" s="4"/>
      <c r="F14" s="3" t="s">
        <v>162</v>
      </c>
      <c r="G14" s="4">
        <f>ROUND(400*42*SQRT(3)/1000,1)</f>
        <v>29.1</v>
      </c>
      <c r="H14" s="216" t="s">
        <v>267</v>
      </c>
      <c r="I14" s="5" t="s">
        <v>178</v>
      </c>
    </row>
    <row r="15" spans="2:9" s="8" customFormat="1" ht="55.5" customHeight="1" x14ac:dyDescent="0.25">
      <c r="B15" s="200" t="s">
        <v>16</v>
      </c>
      <c r="C15" s="201" t="s">
        <v>266</v>
      </c>
      <c r="D15" s="202">
        <f>1.1*SUM(D6:D14)</f>
        <v>14.068560000000002</v>
      </c>
      <c r="E15" s="202">
        <f>1*SUM(E6:E14)</f>
        <v>63.579599999999999</v>
      </c>
      <c r="F15" s="201"/>
      <c r="G15" s="202">
        <f>1.1*SUM(G6:G14)</f>
        <v>57.310000000000009</v>
      </c>
      <c r="H15" s="202"/>
      <c r="I15" s="203"/>
    </row>
    <row r="16" spans="2:9" ht="15.75" customHeight="1" x14ac:dyDescent="0.25"/>
    <row r="17" spans="2:9" ht="15" customHeight="1" x14ac:dyDescent="0.25"/>
    <row r="18" spans="2:9" ht="38.25" customHeight="1" x14ac:dyDescent="0.25">
      <c r="C18" s="196" t="s">
        <v>17</v>
      </c>
      <c r="D18" s="197" t="s">
        <v>2</v>
      </c>
      <c r="E18" s="197" t="s">
        <v>10</v>
      </c>
      <c r="F18" s="196" t="s">
        <v>156</v>
      </c>
      <c r="G18" s="197" t="s">
        <v>26</v>
      </c>
      <c r="H18" s="197" t="s">
        <v>252</v>
      </c>
      <c r="I18" s="196" t="s">
        <v>1</v>
      </c>
    </row>
    <row r="19" spans="2:9" ht="18.75" x14ac:dyDescent="0.3">
      <c r="C19" s="198"/>
      <c r="D19" s="198" t="s">
        <v>0</v>
      </c>
      <c r="E19" s="198" t="s">
        <v>0</v>
      </c>
      <c r="F19" s="198"/>
      <c r="G19" s="198" t="s">
        <v>0</v>
      </c>
      <c r="H19" s="198" t="s">
        <v>143</v>
      </c>
      <c r="I19" s="199"/>
    </row>
    <row r="20" spans="2:9" s="1" customFormat="1" ht="15.75" x14ac:dyDescent="0.25">
      <c r="B20" s="210" t="s">
        <v>254</v>
      </c>
      <c r="C20" s="211"/>
      <c r="D20" s="211"/>
      <c r="E20" s="211"/>
      <c r="F20" s="211"/>
      <c r="G20" s="211"/>
      <c r="H20" s="211"/>
      <c r="I20" s="212"/>
    </row>
    <row r="21" spans="2:9" ht="69.95" customHeight="1" x14ac:dyDescent="0.25">
      <c r="B21" s="388" t="s">
        <v>4</v>
      </c>
      <c r="C21" s="452" t="s">
        <v>242</v>
      </c>
      <c r="D21" s="453">
        <f>'HAEF Bilan CVC pièce par pièce'!AK20/1000</f>
        <v>6.6349999999999998</v>
      </c>
      <c r="E21" s="453">
        <f>'HAEF Bilan CVC pièce par pièce'!AM20/1000</f>
        <v>3.8330000000000002</v>
      </c>
      <c r="F21" s="454" t="s">
        <v>243</v>
      </c>
      <c r="G21" s="455">
        <f>ROUND(400*9.4*SQRT(3)/1000,1)</f>
        <v>6.5</v>
      </c>
      <c r="H21" s="456" t="s">
        <v>241</v>
      </c>
      <c r="I21" s="457"/>
    </row>
    <row r="22" spans="2:9" ht="69.95" customHeight="1" x14ac:dyDescent="0.25">
      <c r="B22" s="389"/>
      <c r="C22" s="458"/>
      <c r="D22" s="459"/>
      <c r="E22" s="459"/>
      <c r="F22" s="454" t="s">
        <v>245</v>
      </c>
      <c r="G22" s="455">
        <f>ROUND(400*17.4*SQRT(3)/1000,1)</f>
        <v>12.1</v>
      </c>
      <c r="H22" s="456" t="s">
        <v>250</v>
      </c>
      <c r="I22" s="457"/>
    </row>
    <row r="23" spans="2:9" ht="50.1" customHeight="1" x14ac:dyDescent="0.25">
      <c r="B23" s="7" t="s">
        <v>7</v>
      </c>
      <c r="C23" s="3" t="s">
        <v>183</v>
      </c>
      <c r="D23" s="4"/>
      <c r="E23" s="4"/>
      <c r="F23" s="3" t="s">
        <v>155</v>
      </c>
      <c r="G23" s="4">
        <v>1.1000000000000001</v>
      </c>
      <c r="H23" s="216" t="s">
        <v>150</v>
      </c>
      <c r="I23" s="383"/>
    </row>
    <row r="24" spans="2:9" s="1" customFormat="1" ht="15.75" x14ac:dyDescent="0.25">
      <c r="B24" s="210" t="s">
        <v>253</v>
      </c>
      <c r="C24" s="211"/>
      <c r="D24" s="211"/>
      <c r="E24" s="211"/>
      <c r="F24" s="211"/>
      <c r="G24" s="211"/>
      <c r="H24" s="211"/>
      <c r="I24" s="212"/>
    </row>
    <row r="25" spans="2:9" ht="50.1" customHeight="1" x14ac:dyDescent="0.25">
      <c r="B25" s="385" t="s">
        <v>18</v>
      </c>
      <c r="C25" s="460" t="s">
        <v>265</v>
      </c>
      <c r="D25" s="461">
        <f>'HAEF Bilan CVC pièce par pièce'!AK35/1000</f>
        <v>6.2546399999999984</v>
      </c>
      <c r="E25" s="461"/>
      <c r="F25" s="454" t="s">
        <v>243</v>
      </c>
      <c r="G25" s="455">
        <f>ROUND(400*9.4*SQRT(3)/1000,1)</f>
        <v>6.5</v>
      </c>
      <c r="H25" s="456" t="s">
        <v>241</v>
      </c>
      <c r="I25" s="457"/>
    </row>
    <row r="26" spans="2:9" ht="50.1" customHeight="1" x14ac:dyDescent="0.25">
      <c r="B26" s="387"/>
      <c r="C26" s="462"/>
      <c r="D26" s="463"/>
      <c r="E26" s="463"/>
      <c r="F26" s="454" t="s">
        <v>245</v>
      </c>
      <c r="G26" s="455">
        <f>ROUND(400*13*SQRT(3)/1000,1)</f>
        <v>9</v>
      </c>
      <c r="H26" s="456" t="s">
        <v>240</v>
      </c>
      <c r="I26" s="457"/>
    </row>
    <row r="27" spans="2:9" ht="50.1" customHeight="1" x14ac:dyDescent="0.25">
      <c r="B27" s="384" t="s">
        <v>264</v>
      </c>
      <c r="C27" s="465" t="s">
        <v>186</v>
      </c>
      <c r="D27" s="464">
        <f>('HAEF Bilan CVC pièce par pièce'!AJ30+'HAEF Bilan CVC pièce par pièce'!AJ31)/1000</f>
        <v>2.7530799999999997</v>
      </c>
      <c r="E27" s="464">
        <f>('HAEF Bilan CVC pièce par pièce'!AL30+'HAEF Bilan CVC pièce par pièce'!AL31)/1000</f>
        <v>3.58874</v>
      </c>
      <c r="F27" s="454" t="s">
        <v>187</v>
      </c>
      <c r="G27" s="455">
        <v>3</v>
      </c>
      <c r="H27" s="470" t="s">
        <v>257</v>
      </c>
      <c r="I27" s="457"/>
    </row>
    <row r="28" spans="2:9" ht="50.1" customHeight="1" x14ac:dyDescent="0.25">
      <c r="B28" s="385" t="s">
        <v>164</v>
      </c>
      <c r="C28" s="460" t="s">
        <v>236</v>
      </c>
      <c r="D28" s="461">
        <f>0.34*3150*30*0.7/1000</f>
        <v>22.491</v>
      </c>
      <c r="E28" s="461">
        <f>0.34*3150*10*0.7*1.2/1000</f>
        <v>8.9963999999999977</v>
      </c>
      <c r="F28" s="454" t="s">
        <v>244</v>
      </c>
      <c r="G28" s="455">
        <f>ROUND(400*2*SQRT(3)/1000,1)</f>
        <v>1.4</v>
      </c>
      <c r="H28" s="456" t="s">
        <v>246</v>
      </c>
      <c r="I28" s="469" t="s">
        <v>262</v>
      </c>
    </row>
    <row r="29" spans="2:9" ht="50.1" customHeight="1" x14ac:dyDescent="0.25">
      <c r="B29" s="387"/>
      <c r="C29" s="462"/>
      <c r="D29" s="463"/>
      <c r="E29" s="463"/>
      <c r="F29" s="454" t="s">
        <v>245</v>
      </c>
      <c r="G29" s="455">
        <f>ROUND(400*39*SQRT(3)/1000,1)</f>
        <v>27</v>
      </c>
      <c r="H29" s="456" t="s">
        <v>263</v>
      </c>
      <c r="I29" s="468"/>
    </row>
    <row r="30" spans="2:9" ht="93.75" customHeight="1" x14ac:dyDescent="0.25">
      <c r="B30" s="6" t="s">
        <v>19</v>
      </c>
      <c r="C30" s="6" t="s">
        <v>169</v>
      </c>
      <c r="D30" s="4">
        <f>'HAEF Bilan CVC pièce par pièce'!AJ35/1000</f>
        <v>14.505710000000001</v>
      </c>
      <c r="E30" s="4">
        <f>'HAEF Bilan CVC pièce par pièce'!AL35/1000</f>
        <v>25.988988000000003</v>
      </c>
      <c r="F30" s="3" t="s">
        <v>170</v>
      </c>
      <c r="G30" s="455">
        <f>D30+13*100/1000</f>
        <v>15.805710000000001</v>
      </c>
      <c r="H30" s="456" t="s">
        <v>171</v>
      </c>
      <c r="I30" s="5" t="s">
        <v>172</v>
      </c>
    </row>
    <row r="31" spans="2:9" ht="51" x14ac:dyDescent="0.25">
      <c r="B31" s="7" t="s">
        <v>8</v>
      </c>
      <c r="C31" s="3" t="s">
        <v>174</v>
      </c>
      <c r="D31" s="4"/>
      <c r="E31" s="4">
        <v>60</v>
      </c>
      <c r="F31" s="3"/>
      <c r="G31" s="4"/>
      <c r="H31" s="4"/>
      <c r="I31" s="5" t="s">
        <v>173</v>
      </c>
    </row>
    <row r="32" spans="2:9" ht="50.1" customHeight="1" x14ac:dyDescent="0.25">
      <c r="B32" s="7" t="s">
        <v>12</v>
      </c>
      <c r="C32" s="3" t="s">
        <v>188</v>
      </c>
      <c r="D32" s="4"/>
      <c r="E32" s="4"/>
      <c r="F32" s="3" t="s">
        <v>161</v>
      </c>
      <c r="G32" s="4">
        <v>2</v>
      </c>
      <c r="H32" s="216" t="s">
        <v>150</v>
      </c>
      <c r="I32" s="5"/>
    </row>
    <row r="33" spans="2:9" s="1" customFormat="1" ht="15.75" x14ac:dyDescent="0.25">
      <c r="B33" s="210" t="s">
        <v>256</v>
      </c>
      <c r="C33" s="211"/>
      <c r="D33" s="211"/>
      <c r="E33" s="211"/>
      <c r="F33" s="211"/>
      <c r="G33" s="211"/>
      <c r="H33" s="211"/>
      <c r="I33" s="212"/>
    </row>
    <row r="34" spans="2:9" ht="60" customHeight="1" x14ac:dyDescent="0.25">
      <c r="B34" s="385" t="s">
        <v>27</v>
      </c>
      <c r="C34" s="460" t="s">
        <v>269</v>
      </c>
      <c r="D34" s="461">
        <f>'HAEF Bilan CVC pièce par pièce'!AK44/1000</f>
        <v>9.0584700000000016</v>
      </c>
      <c r="E34" s="461">
        <f>'HAEF Bilan CVC pièce par pièce'!AM44/1000</f>
        <v>7.2424320000000009</v>
      </c>
      <c r="F34" s="454" t="s">
        <v>244</v>
      </c>
      <c r="G34" s="455">
        <f>ROUND(400*3.9*SQRT(3)/1000,1)</f>
        <v>2.7</v>
      </c>
      <c r="H34" s="456" t="s">
        <v>260</v>
      </c>
      <c r="I34" s="469"/>
    </row>
    <row r="35" spans="2:9" ht="73.5" customHeight="1" x14ac:dyDescent="0.25">
      <c r="B35" s="386"/>
      <c r="C35" s="462"/>
      <c r="D35" s="463"/>
      <c r="E35" s="463"/>
      <c r="F35" s="454" t="s">
        <v>165</v>
      </c>
      <c r="G35" s="455">
        <f>ROUND(400*13.5*SQRT(3)/1000,1)</f>
        <v>9.4</v>
      </c>
      <c r="H35" s="470" t="s">
        <v>261</v>
      </c>
      <c r="I35" s="472"/>
    </row>
    <row r="36" spans="2:9" ht="50.1" customHeight="1" x14ac:dyDescent="0.25">
      <c r="B36" s="387"/>
      <c r="C36" s="465" t="s">
        <v>258</v>
      </c>
      <c r="D36" s="464"/>
      <c r="E36" s="464"/>
      <c r="F36" s="454" t="s">
        <v>166</v>
      </c>
      <c r="G36" s="455">
        <v>1.1000000000000001</v>
      </c>
      <c r="H36" s="456" t="s">
        <v>259</v>
      </c>
      <c r="I36" s="471"/>
    </row>
    <row r="37" spans="2:9" ht="50.1" customHeight="1" x14ac:dyDescent="0.25">
      <c r="B37" s="7" t="s">
        <v>20</v>
      </c>
      <c r="C37" s="3" t="s">
        <v>141</v>
      </c>
      <c r="D37" s="4"/>
      <c r="E37" s="4">
        <v>25</v>
      </c>
      <c r="F37" s="3"/>
      <c r="G37" s="4"/>
      <c r="H37" s="4"/>
      <c r="I37" s="5" t="s">
        <v>173</v>
      </c>
    </row>
    <row r="38" spans="2:9" ht="50.1" customHeight="1" x14ac:dyDescent="0.25">
      <c r="B38" s="7" t="s">
        <v>139</v>
      </c>
      <c r="C38" s="3" t="s">
        <v>140</v>
      </c>
      <c r="D38" s="4"/>
      <c r="E38" s="4">
        <v>25</v>
      </c>
      <c r="F38" s="3"/>
      <c r="G38" s="4"/>
      <c r="H38" s="216"/>
      <c r="I38" s="5" t="s">
        <v>173</v>
      </c>
    </row>
    <row r="39" spans="2:9" s="1" customFormat="1" ht="15.75" x14ac:dyDescent="0.25">
      <c r="B39" s="214" t="s">
        <v>137</v>
      </c>
      <c r="C39" s="211"/>
      <c r="D39" s="211"/>
      <c r="E39" s="211"/>
      <c r="F39" s="211"/>
      <c r="G39" s="211"/>
      <c r="H39" s="211"/>
      <c r="I39" s="212"/>
    </row>
    <row r="40" spans="2:9" ht="38.25" x14ac:dyDescent="0.25">
      <c r="B40" s="6" t="s">
        <v>6</v>
      </c>
      <c r="C40" s="3" t="s">
        <v>24</v>
      </c>
      <c r="D40" s="4"/>
      <c r="E40" s="4"/>
      <c r="F40" s="3" t="s">
        <v>168</v>
      </c>
      <c r="G40" s="4">
        <v>0.2</v>
      </c>
      <c r="H40" s="216" t="s">
        <v>150</v>
      </c>
      <c r="I40" s="5"/>
    </row>
    <row r="41" spans="2:9" s="1" customFormat="1" ht="15.75" x14ac:dyDescent="0.25">
      <c r="B41" s="214" t="s">
        <v>21</v>
      </c>
      <c r="C41" s="211"/>
      <c r="D41" s="211"/>
      <c r="E41" s="211"/>
      <c r="F41" s="211"/>
      <c r="G41" s="211"/>
      <c r="H41" s="211"/>
      <c r="I41" s="212"/>
    </row>
    <row r="42" spans="2:9" ht="38.25" x14ac:dyDescent="0.25">
      <c r="B42" s="6" t="s">
        <v>22</v>
      </c>
      <c r="C42" s="3" t="s">
        <v>23</v>
      </c>
      <c r="D42" s="4"/>
      <c r="E42" s="4"/>
      <c r="F42" s="3" t="s">
        <v>168</v>
      </c>
      <c r="G42" s="4">
        <v>0.2</v>
      </c>
      <c r="H42" s="216" t="s">
        <v>150</v>
      </c>
      <c r="I42" s="5"/>
    </row>
    <row r="43" spans="2:9" s="1" customFormat="1" ht="15.75" x14ac:dyDescent="0.25">
      <c r="B43" s="214" t="s">
        <v>185</v>
      </c>
      <c r="C43" s="9"/>
      <c r="D43" s="9"/>
      <c r="E43" s="9"/>
      <c r="F43" s="9"/>
      <c r="G43" s="9"/>
      <c r="H43" s="9"/>
      <c r="I43" s="10"/>
    </row>
    <row r="44" spans="2:9" ht="51.75" customHeight="1" x14ac:dyDescent="0.25">
      <c r="B44" s="6" t="s">
        <v>175</v>
      </c>
      <c r="C44" s="217" t="s">
        <v>179</v>
      </c>
      <c r="D44" s="4"/>
      <c r="E44" s="4"/>
      <c r="F44" s="3" t="s">
        <v>181</v>
      </c>
      <c r="G44" s="4">
        <v>3</v>
      </c>
      <c r="H44" s="216" t="s">
        <v>150</v>
      </c>
      <c r="I44" s="5" t="s">
        <v>178</v>
      </c>
    </row>
    <row r="45" spans="2:9" ht="51.75" customHeight="1" x14ac:dyDescent="0.25">
      <c r="B45" s="6" t="s">
        <v>176</v>
      </c>
      <c r="C45" s="3" t="s">
        <v>182</v>
      </c>
      <c r="D45" s="4"/>
      <c r="E45" s="4"/>
      <c r="F45" s="3" t="s">
        <v>180</v>
      </c>
      <c r="G45" s="4">
        <v>3</v>
      </c>
      <c r="H45" s="216" t="s">
        <v>150</v>
      </c>
      <c r="I45" s="5"/>
    </row>
    <row r="46" spans="2:9" ht="50.1" customHeight="1" x14ac:dyDescent="0.25">
      <c r="B46" s="7" t="s">
        <v>146</v>
      </c>
      <c r="C46" s="3" t="s">
        <v>163</v>
      </c>
      <c r="D46" s="4"/>
      <c r="E46" s="4"/>
      <c r="F46" s="3" t="s">
        <v>157</v>
      </c>
      <c r="G46" s="4">
        <v>0.5</v>
      </c>
      <c r="H46" s="216" t="s">
        <v>150</v>
      </c>
      <c r="I46" s="457"/>
    </row>
    <row r="47" spans="2:9" s="1" customFormat="1" ht="15.75" x14ac:dyDescent="0.25">
      <c r="B47" s="214" t="s">
        <v>184</v>
      </c>
      <c r="C47" s="9"/>
      <c r="D47" s="9"/>
      <c r="E47" s="9"/>
      <c r="F47" s="9"/>
      <c r="G47" s="9"/>
      <c r="H47" s="9"/>
      <c r="I47" s="10"/>
    </row>
    <row r="48" spans="2:9" ht="53.25" customHeight="1" x14ac:dyDescent="0.25">
      <c r="B48" s="217" t="s">
        <v>147</v>
      </c>
      <c r="C48" s="217"/>
      <c r="D48" s="4"/>
      <c r="E48" s="4"/>
      <c r="F48" s="3" t="s">
        <v>177</v>
      </c>
      <c r="G48" s="455">
        <f>ROUND(400*39*SQRT(3)/1000,1)</f>
        <v>27</v>
      </c>
      <c r="H48" s="216" t="s">
        <v>268</v>
      </c>
      <c r="I48" s="457"/>
    </row>
    <row r="49" spans="2:9" ht="54" customHeight="1" x14ac:dyDescent="0.25">
      <c r="B49" s="204" t="s">
        <v>15</v>
      </c>
      <c r="C49" s="204" t="s">
        <v>266</v>
      </c>
      <c r="D49" s="205">
        <f>1.1*SUM(D21:D45)</f>
        <v>67.867689999999996</v>
      </c>
      <c r="E49" s="205">
        <f>SUM(E21:E48)</f>
        <v>159.64956000000001</v>
      </c>
      <c r="F49" s="204">
        <f>1.1*E49</f>
        <v>175.61451600000001</v>
      </c>
      <c r="G49" s="205">
        <f>SUM(G21:G48)</f>
        <v>131.50571000000002</v>
      </c>
      <c r="H49" s="205"/>
      <c r="I49" s="206"/>
    </row>
  </sheetData>
  <mergeCells count="19">
    <mergeCell ref="B34:B36"/>
    <mergeCell ref="B6:B7"/>
    <mergeCell ref="B21:B22"/>
    <mergeCell ref="C21:C22"/>
    <mergeCell ref="C34:C35"/>
    <mergeCell ref="B25:B26"/>
    <mergeCell ref="C25:C26"/>
    <mergeCell ref="B28:B29"/>
    <mergeCell ref="C28:C29"/>
    <mergeCell ref="D25:D26"/>
    <mergeCell ref="E25:E26"/>
    <mergeCell ref="I34:I35"/>
    <mergeCell ref="D34:D35"/>
    <mergeCell ref="E34:E35"/>
    <mergeCell ref="D21:D22"/>
    <mergeCell ref="E21:E22"/>
    <mergeCell ref="D28:D29"/>
    <mergeCell ref="E28:E29"/>
    <mergeCell ref="I28:I29"/>
  </mergeCells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Header>&amp;LBâtiment Haefely
Site de La Doua&amp;C&amp;"-,Gras"&amp;12PRO
Mise en place de machines scientifiques&amp;RAJ Innov</oddHeader>
    <oddFooter>&amp;L12 Août 2024&amp;RIndice 0</oddFooter>
  </headerFooter>
  <rowBreaks count="2" manualBreakCount="2">
    <brk id="16" max="9" man="1"/>
    <brk id="4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2C0A7-BE78-48A4-BF5D-04D786D8EF55}">
  <dimension ref="A1:BZ50"/>
  <sheetViews>
    <sheetView zoomScale="70" zoomScaleNormal="70" workbookViewId="0">
      <selection activeCell="M24" sqref="M24"/>
    </sheetView>
  </sheetViews>
  <sheetFormatPr baseColWidth="10" defaultColWidth="12.5703125" defaultRowHeight="15.75" x14ac:dyDescent="0.25"/>
  <cols>
    <col min="1" max="1" width="2" style="149" customWidth="1"/>
    <col min="2" max="2" width="31.85546875" style="150" customWidth="1"/>
    <col min="3" max="3" width="10" style="151" bestFit="1" customWidth="1"/>
    <col min="4" max="4" width="8.140625" style="152" customWidth="1"/>
    <col min="5" max="5" width="8.42578125" style="153" bestFit="1" customWidth="1"/>
    <col min="6" max="6" width="8" style="153" customWidth="1"/>
    <col min="7" max="7" width="9.7109375" style="154" hidden="1" customWidth="1"/>
    <col min="8" max="8" width="8" style="154" hidden="1" customWidth="1"/>
    <col min="9" max="9" width="11" style="154" hidden="1" customWidth="1"/>
    <col min="10" max="10" width="8" style="154" hidden="1" customWidth="1"/>
    <col min="11" max="12" width="7.85546875" style="155" bestFit="1" customWidth="1"/>
    <col min="13" max="13" width="8.7109375" style="119" bestFit="1" customWidth="1"/>
    <col min="14" max="14" width="7.42578125" style="156" customWidth="1"/>
    <col min="15" max="15" width="6.28515625" style="156" customWidth="1"/>
    <col min="16" max="16" width="5.140625" style="156" customWidth="1"/>
    <col min="17" max="17" width="14.42578125" style="156" customWidth="1"/>
    <col min="18" max="18" width="5.5703125" style="156" customWidth="1"/>
    <col min="19" max="19" width="12.5703125" style="156" customWidth="1"/>
    <col min="20" max="20" width="5.7109375" style="156" customWidth="1"/>
    <col min="21" max="21" width="18.7109375" style="156" customWidth="1"/>
    <col min="22" max="22" width="8" style="156" customWidth="1"/>
    <col min="23" max="23" width="12.5703125" style="156" customWidth="1"/>
    <col min="24" max="24" width="14.42578125" style="155" customWidth="1"/>
    <col min="25" max="25" width="17.28515625" style="155" customWidth="1"/>
    <col min="26" max="26" width="16.28515625" style="155" customWidth="1"/>
    <col min="27" max="27" width="17.5703125" style="155" customWidth="1"/>
    <col min="28" max="29" width="15.28515625" style="155" customWidth="1"/>
    <col min="30" max="30" width="18" style="155" customWidth="1"/>
    <col min="31" max="31" width="14" style="155" customWidth="1"/>
    <col min="32" max="32" width="13.42578125" style="155" customWidth="1"/>
    <col min="33" max="33" width="15" style="155" customWidth="1"/>
    <col min="34" max="34" width="15.28515625" style="155" customWidth="1"/>
    <col min="35" max="35" width="14" style="155" customWidth="1"/>
    <col min="36" max="38" width="15.28515625" style="155" customWidth="1"/>
    <col min="39" max="39" width="14" style="155" customWidth="1"/>
    <col min="40" max="40" width="14.140625" style="156" customWidth="1"/>
    <col min="41" max="41" width="16.140625" style="156" customWidth="1"/>
    <col min="42" max="42" width="12.5703125" style="156" customWidth="1"/>
    <col min="43" max="43" width="12.140625" style="156" customWidth="1"/>
    <col min="44" max="44" width="17" style="156" customWidth="1"/>
    <col min="45" max="45" width="16.140625" style="155" customWidth="1"/>
    <col min="46" max="46" width="8.85546875" style="155" customWidth="1"/>
    <col min="47" max="49" width="14" style="155" customWidth="1"/>
    <col min="50" max="50" width="14.85546875" style="155" customWidth="1"/>
    <col min="51" max="51" width="13.140625" style="155" customWidth="1"/>
    <col min="52" max="52" width="14.42578125" style="155" customWidth="1"/>
    <col min="53" max="53" width="17.5703125" style="155" customWidth="1"/>
    <col min="54" max="54" width="17.28515625" style="155" customWidth="1"/>
    <col min="55" max="55" width="15.140625" style="155" customWidth="1"/>
    <col min="56" max="56" width="5.85546875" style="156" customWidth="1"/>
    <col min="57" max="57" width="8.7109375" style="156" customWidth="1"/>
    <col min="58" max="58" width="5.85546875" style="156" customWidth="1"/>
    <col min="59" max="59" width="8.7109375" style="156" customWidth="1"/>
    <col min="60" max="60" width="5.85546875" style="156" customWidth="1"/>
    <col min="61" max="61" width="9.5703125" style="156" customWidth="1"/>
    <col min="62" max="62" width="14.140625" style="156" bestFit="1" customWidth="1"/>
    <col min="63" max="63" width="13.85546875" style="156" customWidth="1"/>
    <col min="64" max="64" width="12.85546875" style="156" bestFit="1" customWidth="1"/>
    <col min="65" max="65" width="9.85546875" style="156" customWidth="1"/>
    <col min="66" max="66" width="13" style="155" customWidth="1"/>
    <col min="67" max="67" width="11.28515625" style="156" customWidth="1"/>
    <col min="68" max="68" width="14.7109375" style="156" bestFit="1" customWidth="1"/>
    <col min="69" max="69" width="9" style="155" hidden="1" customWidth="1"/>
    <col min="70" max="70" width="8" style="24" hidden="1" customWidth="1"/>
    <col min="71" max="71" width="9.5703125" style="21" hidden="1" customWidth="1"/>
    <col min="72" max="72" width="2" style="119" customWidth="1"/>
    <col min="73" max="73" width="9.28515625" style="119" customWidth="1"/>
    <col min="74" max="74" width="13.7109375" style="119" customWidth="1"/>
    <col min="75" max="75" width="41.42578125" style="119" customWidth="1"/>
    <col min="76" max="77" width="12.5703125" style="119"/>
    <col min="78" max="78" width="13.85546875" style="119" customWidth="1"/>
    <col min="79" max="240" width="12.5703125" style="119"/>
    <col min="241" max="241" width="2" style="119" customWidth="1"/>
    <col min="242" max="242" width="31.85546875" style="119" customWidth="1"/>
    <col min="243" max="243" width="10" style="119" bestFit="1" customWidth="1"/>
    <col min="244" max="244" width="8.140625" style="119" customWidth="1"/>
    <col min="245" max="245" width="8.42578125" style="119" bestFit="1" customWidth="1"/>
    <col min="246" max="246" width="8" style="119" customWidth="1"/>
    <col min="247" max="250" width="0" style="119" hidden="1" customWidth="1"/>
    <col min="251" max="252" width="7.85546875" style="119" bestFit="1" customWidth="1"/>
    <col min="253" max="253" width="8.7109375" style="119" bestFit="1" customWidth="1"/>
    <col min="254" max="254" width="7.42578125" style="119" customWidth="1"/>
    <col min="255" max="255" width="6.28515625" style="119" customWidth="1"/>
    <col min="256" max="293" width="0" style="119" hidden="1" customWidth="1"/>
    <col min="294" max="294" width="15.42578125" style="119" bestFit="1" customWidth="1"/>
    <col min="295" max="296" width="15.28515625" style="119" customWidth="1"/>
    <col min="297" max="297" width="18" style="119" customWidth="1"/>
    <col min="298" max="298" width="14" style="119" customWidth="1"/>
    <col min="299" max="299" width="13.42578125" style="119" customWidth="1"/>
    <col min="300" max="300" width="15" style="119" customWidth="1"/>
    <col min="301" max="301" width="15.28515625" style="119" customWidth="1"/>
    <col min="302" max="302" width="14" style="119" customWidth="1"/>
    <col min="303" max="304" width="12.140625" style="119" customWidth="1"/>
    <col min="305" max="305" width="16.140625" style="119" customWidth="1"/>
    <col min="306" max="306" width="14.140625" style="119" customWidth="1"/>
    <col min="307" max="307" width="14.42578125" style="119" customWidth="1"/>
    <col min="308" max="308" width="12.5703125" style="119"/>
    <col min="309" max="309" width="8.85546875" style="119" customWidth="1"/>
    <col min="310" max="311" width="14" style="119" customWidth="1"/>
    <col min="312" max="312" width="13.85546875" style="119" customWidth="1"/>
    <col min="313" max="313" width="13.140625" style="119" customWidth="1"/>
    <col min="314" max="314" width="14.42578125" style="119" customWidth="1"/>
    <col min="315" max="315" width="17.5703125" style="119" customWidth="1"/>
    <col min="316" max="316" width="17.28515625" style="119" customWidth="1"/>
    <col min="317" max="317" width="15.140625" style="119" bestFit="1" customWidth="1"/>
    <col min="318" max="318" width="14.140625" style="119" bestFit="1" customWidth="1"/>
    <col min="319" max="319" width="13.85546875" style="119" customWidth="1"/>
    <col min="320" max="320" width="12.85546875" style="119" bestFit="1" customWidth="1"/>
    <col min="321" max="321" width="9.85546875" style="119" customWidth="1"/>
    <col min="322" max="322" width="13" style="119" customWidth="1"/>
    <col min="323" max="323" width="11.28515625" style="119" customWidth="1"/>
    <col min="324" max="324" width="14.7109375" style="119" bestFit="1" customWidth="1"/>
    <col min="325" max="327" width="0" style="119" hidden="1" customWidth="1"/>
    <col min="328" max="328" width="2" style="119" customWidth="1"/>
    <col min="329" max="329" width="9.28515625" style="119" customWidth="1"/>
    <col min="330" max="330" width="13.7109375" style="119" customWidth="1"/>
    <col min="331" max="331" width="41.42578125" style="119" customWidth="1"/>
    <col min="332" max="333" width="12.5703125" style="119"/>
    <col min="334" max="334" width="13.85546875" style="119" customWidth="1"/>
    <col min="335" max="496" width="12.5703125" style="119"/>
    <col min="497" max="497" width="2" style="119" customWidth="1"/>
    <col min="498" max="498" width="31.85546875" style="119" customWidth="1"/>
    <col min="499" max="499" width="10" style="119" bestFit="1" customWidth="1"/>
    <col min="500" max="500" width="8.140625" style="119" customWidth="1"/>
    <col min="501" max="501" width="8.42578125" style="119" bestFit="1" customWidth="1"/>
    <col min="502" max="502" width="8" style="119" customWidth="1"/>
    <col min="503" max="506" width="0" style="119" hidden="1" customWidth="1"/>
    <col min="507" max="508" width="7.85546875" style="119" bestFit="1" customWidth="1"/>
    <col min="509" max="509" width="8.7109375" style="119" bestFit="1" customWidth="1"/>
    <col min="510" max="510" width="7.42578125" style="119" customWidth="1"/>
    <col min="511" max="511" width="6.28515625" style="119" customWidth="1"/>
    <col min="512" max="549" width="0" style="119" hidden="1" customWidth="1"/>
    <col min="550" max="550" width="15.42578125" style="119" bestFit="1" customWidth="1"/>
    <col min="551" max="552" width="15.28515625" style="119" customWidth="1"/>
    <col min="553" max="553" width="18" style="119" customWidth="1"/>
    <col min="554" max="554" width="14" style="119" customWidth="1"/>
    <col min="555" max="555" width="13.42578125" style="119" customWidth="1"/>
    <col min="556" max="556" width="15" style="119" customWidth="1"/>
    <col min="557" max="557" width="15.28515625" style="119" customWidth="1"/>
    <col min="558" max="558" width="14" style="119" customWidth="1"/>
    <col min="559" max="560" width="12.140625" style="119" customWidth="1"/>
    <col min="561" max="561" width="16.140625" style="119" customWidth="1"/>
    <col min="562" max="562" width="14.140625" style="119" customWidth="1"/>
    <col min="563" max="563" width="14.42578125" style="119" customWidth="1"/>
    <col min="564" max="564" width="12.5703125" style="119"/>
    <col min="565" max="565" width="8.85546875" style="119" customWidth="1"/>
    <col min="566" max="567" width="14" style="119" customWidth="1"/>
    <col min="568" max="568" width="13.85546875" style="119" customWidth="1"/>
    <col min="569" max="569" width="13.140625" style="119" customWidth="1"/>
    <col min="570" max="570" width="14.42578125" style="119" customWidth="1"/>
    <col min="571" max="571" width="17.5703125" style="119" customWidth="1"/>
    <col min="572" max="572" width="17.28515625" style="119" customWidth="1"/>
    <col min="573" max="573" width="15.140625" style="119" bestFit="1" customWidth="1"/>
    <col min="574" max="574" width="14.140625" style="119" bestFit="1" customWidth="1"/>
    <col min="575" max="575" width="13.85546875" style="119" customWidth="1"/>
    <col min="576" max="576" width="12.85546875" style="119" bestFit="1" customWidth="1"/>
    <col min="577" max="577" width="9.85546875" style="119" customWidth="1"/>
    <col min="578" max="578" width="13" style="119" customWidth="1"/>
    <col min="579" max="579" width="11.28515625" style="119" customWidth="1"/>
    <col min="580" max="580" width="14.7109375" style="119" bestFit="1" customWidth="1"/>
    <col min="581" max="583" width="0" style="119" hidden="1" customWidth="1"/>
    <col min="584" max="584" width="2" style="119" customWidth="1"/>
    <col min="585" max="585" width="9.28515625" style="119" customWidth="1"/>
    <col min="586" max="586" width="13.7109375" style="119" customWidth="1"/>
    <col min="587" max="587" width="41.42578125" style="119" customWidth="1"/>
    <col min="588" max="589" width="12.5703125" style="119"/>
    <col min="590" max="590" width="13.85546875" style="119" customWidth="1"/>
    <col min="591" max="752" width="12.5703125" style="119"/>
    <col min="753" max="753" width="2" style="119" customWidth="1"/>
    <col min="754" max="754" width="31.85546875" style="119" customWidth="1"/>
    <col min="755" max="755" width="10" style="119" bestFit="1" customWidth="1"/>
    <col min="756" max="756" width="8.140625" style="119" customWidth="1"/>
    <col min="757" max="757" width="8.42578125" style="119" bestFit="1" customWidth="1"/>
    <col min="758" max="758" width="8" style="119" customWidth="1"/>
    <col min="759" max="762" width="0" style="119" hidden="1" customWidth="1"/>
    <col min="763" max="764" width="7.85546875" style="119" bestFit="1" customWidth="1"/>
    <col min="765" max="765" width="8.7109375" style="119" bestFit="1" customWidth="1"/>
    <col min="766" max="766" width="7.42578125" style="119" customWidth="1"/>
    <col min="767" max="767" width="6.28515625" style="119" customWidth="1"/>
    <col min="768" max="805" width="0" style="119" hidden="1" customWidth="1"/>
    <col min="806" max="806" width="15.42578125" style="119" bestFit="1" customWidth="1"/>
    <col min="807" max="808" width="15.28515625" style="119" customWidth="1"/>
    <col min="809" max="809" width="18" style="119" customWidth="1"/>
    <col min="810" max="810" width="14" style="119" customWidth="1"/>
    <col min="811" max="811" width="13.42578125" style="119" customWidth="1"/>
    <col min="812" max="812" width="15" style="119" customWidth="1"/>
    <col min="813" max="813" width="15.28515625" style="119" customWidth="1"/>
    <col min="814" max="814" width="14" style="119" customWidth="1"/>
    <col min="815" max="816" width="12.140625" style="119" customWidth="1"/>
    <col min="817" max="817" width="16.140625" style="119" customWidth="1"/>
    <col min="818" max="818" width="14.140625" style="119" customWidth="1"/>
    <col min="819" max="819" width="14.42578125" style="119" customWidth="1"/>
    <col min="820" max="820" width="12.5703125" style="119"/>
    <col min="821" max="821" width="8.85546875" style="119" customWidth="1"/>
    <col min="822" max="823" width="14" style="119" customWidth="1"/>
    <col min="824" max="824" width="13.85546875" style="119" customWidth="1"/>
    <col min="825" max="825" width="13.140625" style="119" customWidth="1"/>
    <col min="826" max="826" width="14.42578125" style="119" customWidth="1"/>
    <col min="827" max="827" width="17.5703125" style="119" customWidth="1"/>
    <col min="828" max="828" width="17.28515625" style="119" customWidth="1"/>
    <col min="829" max="829" width="15.140625" style="119" bestFit="1" customWidth="1"/>
    <col min="830" max="830" width="14.140625" style="119" bestFit="1" customWidth="1"/>
    <col min="831" max="831" width="13.85546875" style="119" customWidth="1"/>
    <col min="832" max="832" width="12.85546875" style="119" bestFit="1" customWidth="1"/>
    <col min="833" max="833" width="9.85546875" style="119" customWidth="1"/>
    <col min="834" max="834" width="13" style="119" customWidth="1"/>
    <col min="835" max="835" width="11.28515625" style="119" customWidth="1"/>
    <col min="836" max="836" width="14.7109375" style="119" bestFit="1" customWidth="1"/>
    <col min="837" max="839" width="0" style="119" hidden="1" customWidth="1"/>
    <col min="840" max="840" width="2" style="119" customWidth="1"/>
    <col min="841" max="841" width="9.28515625" style="119" customWidth="1"/>
    <col min="842" max="842" width="13.7109375" style="119" customWidth="1"/>
    <col min="843" max="843" width="41.42578125" style="119" customWidth="1"/>
    <col min="844" max="845" width="12.5703125" style="119"/>
    <col min="846" max="846" width="13.85546875" style="119" customWidth="1"/>
    <col min="847" max="1008" width="12.5703125" style="119"/>
    <col min="1009" max="1009" width="2" style="119" customWidth="1"/>
    <col min="1010" max="1010" width="31.85546875" style="119" customWidth="1"/>
    <col min="1011" max="1011" width="10" style="119" bestFit="1" customWidth="1"/>
    <col min="1012" max="1012" width="8.140625" style="119" customWidth="1"/>
    <col min="1013" max="1013" width="8.42578125" style="119" bestFit="1" customWidth="1"/>
    <col min="1014" max="1014" width="8" style="119" customWidth="1"/>
    <col min="1015" max="1018" width="0" style="119" hidden="1" customWidth="1"/>
    <col min="1019" max="1020" width="7.85546875" style="119" bestFit="1" customWidth="1"/>
    <col min="1021" max="1021" width="8.7109375" style="119" bestFit="1" customWidth="1"/>
    <col min="1022" max="1022" width="7.42578125" style="119" customWidth="1"/>
    <col min="1023" max="1023" width="6.28515625" style="119" customWidth="1"/>
    <col min="1024" max="1061" width="0" style="119" hidden="1" customWidth="1"/>
    <col min="1062" max="1062" width="15.42578125" style="119" bestFit="1" customWidth="1"/>
    <col min="1063" max="1064" width="15.28515625" style="119" customWidth="1"/>
    <col min="1065" max="1065" width="18" style="119" customWidth="1"/>
    <col min="1066" max="1066" width="14" style="119" customWidth="1"/>
    <col min="1067" max="1067" width="13.42578125" style="119" customWidth="1"/>
    <col min="1068" max="1068" width="15" style="119" customWidth="1"/>
    <col min="1069" max="1069" width="15.28515625" style="119" customWidth="1"/>
    <col min="1070" max="1070" width="14" style="119" customWidth="1"/>
    <col min="1071" max="1072" width="12.140625" style="119" customWidth="1"/>
    <col min="1073" max="1073" width="16.140625" style="119" customWidth="1"/>
    <col min="1074" max="1074" width="14.140625" style="119" customWidth="1"/>
    <col min="1075" max="1075" width="14.42578125" style="119" customWidth="1"/>
    <col min="1076" max="1076" width="12.5703125" style="119"/>
    <col min="1077" max="1077" width="8.85546875" style="119" customWidth="1"/>
    <col min="1078" max="1079" width="14" style="119" customWidth="1"/>
    <col min="1080" max="1080" width="13.85546875" style="119" customWidth="1"/>
    <col min="1081" max="1081" width="13.140625" style="119" customWidth="1"/>
    <col min="1082" max="1082" width="14.42578125" style="119" customWidth="1"/>
    <col min="1083" max="1083" width="17.5703125" style="119" customWidth="1"/>
    <col min="1084" max="1084" width="17.28515625" style="119" customWidth="1"/>
    <col min="1085" max="1085" width="15.140625" style="119" bestFit="1" customWidth="1"/>
    <col min="1086" max="1086" width="14.140625" style="119" bestFit="1" customWidth="1"/>
    <col min="1087" max="1087" width="13.85546875" style="119" customWidth="1"/>
    <col min="1088" max="1088" width="12.85546875" style="119" bestFit="1" customWidth="1"/>
    <col min="1089" max="1089" width="9.85546875" style="119" customWidth="1"/>
    <col min="1090" max="1090" width="13" style="119" customWidth="1"/>
    <col min="1091" max="1091" width="11.28515625" style="119" customWidth="1"/>
    <col min="1092" max="1092" width="14.7109375" style="119" bestFit="1" customWidth="1"/>
    <col min="1093" max="1095" width="0" style="119" hidden="1" customWidth="1"/>
    <col min="1096" max="1096" width="2" style="119" customWidth="1"/>
    <col min="1097" max="1097" width="9.28515625" style="119" customWidth="1"/>
    <col min="1098" max="1098" width="13.7109375" style="119" customWidth="1"/>
    <col min="1099" max="1099" width="41.42578125" style="119" customWidth="1"/>
    <col min="1100" max="1101" width="12.5703125" style="119"/>
    <col min="1102" max="1102" width="13.85546875" style="119" customWidth="1"/>
    <col min="1103" max="1264" width="12.5703125" style="119"/>
    <col min="1265" max="1265" width="2" style="119" customWidth="1"/>
    <col min="1266" max="1266" width="31.85546875" style="119" customWidth="1"/>
    <col min="1267" max="1267" width="10" style="119" bestFit="1" customWidth="1"/>
    <col min="1268" max="1268" width="8.140625" style="119" customWidth="1"/>
    <col min="1269" max="1269" width="8.42578125" style="119" bestFit="1" customWidth="1"/>
    <col min="1270" max="1270" width="8" style="119" customWidth="1"/>
    <col min="1271" max="1274" width="0" style="119" hidden="1" customWidth="1"/>
    <col min="1275" max="1276" width="7.85546875" style="119" bestFit="1" customWidth="1"/>
    <col min="1277" max="1277" width="8.7109375" style="119" bestFit="1" customWidth="1"/>
    <col min="1278" max="1278" width="7.42578125" style="119" customWidth="1"/>
    <col min="1279" max="1279" width="6.28515625" style="119" customWidth="1"/>
    <col min="1280" max="1317" width="0" style="119" hidden="1" customWidth="1"/>
    <col min="1318" max="1318" width="15.42578125" style="119" bestFit="1" customWidth="1"/>
    <col min="1319" max="1320" width="15.28515625" style="119" customWidth="1"/>
    <col min="1321" max="1321" width="18" style="119" customWidth="1"/>
    <col min="1322" max="1322" width="14" style="119" customWidth="1"/>
    <col min="1323" max="1323" width="13.42578125" style="119" customWidth="1"/>
    <col min="1324" max="1324" width="15" style="119" customWidth="1"/>
    <col min="1325" max="1325" width="15.28515625" style="119" customWidth="1"/>
    <col min="1326" max="1326" width="14" style="119" customWidth="1"/>
    <col min="1327" max="1328" width="12.140625" style="119" customWidth="1"/>
    <col min="1329" max="1329" width="16.140625" style="119" customWidth="1"/>
    <col min="1330" max="1330" width="14.140625" style="119" customWidth="1"/>
    <col min="1331" max="1331" width="14.42578125" style="119" customWidth="1"/>
    <col min="1332" max="1332" width="12.5703125" style="119"/>
    <col min="1333" max="1333" width="8.85546875" style="119" customWidth="1"/>
    <col min="1334" max="1335" width="14" style="119" customWidth="1"/>
    <col min="1336" max="1336" width="13.85546875" style="119" customWidth="1"/>
    <col min="1337" max="1337" width="13.140625" style="119" customWidth="1"/>
    <col min="1338" max="1338" width="14.42578125" style="119" customWidth="1"/>
    <col min="1339" max="1339" width="17.5703125" style="119" customWidth="1"/>
    <col min="1340" max="1340" width="17.28515625" style="119" customWidth="1"/>
    <col min="1341" max="1341" width="15.140625" style="119" bestFit="1" customWidth="1"/>
    <col min="1342" max="1342" width="14.140625" style="119" bestFit="1" customWidth="1"/>
    <col min="1343" max="1343" width="13.85546875" style="119" customWidth="1"/>
    <col min="1344" max="1344" width="12.85546875" style="119" bestFit="1" customWidth="1"/>
    <col min="1345" max="1345" width="9.85546875" style="119" customWidth="1"/>
    <col min="1346" max="1346" width="13" style="119" customWidth="1"/>
    <col min="1347" max="1347" width="11.28515625" style="119" customWidth="1"/>
    <col min="1348" max="1348" width="14.7109375" style="119" bestFit="1" customWidth="1"/>
    <col min="1349" max="1351" width="0" style="119" hidden="1" customWidth="1"/>
    <col min="1352" max="1352" width="2" style="119" customWidth="1"/>
    <col min="1353" max="1353" width="9.28515625" style="119" customWidth="1"/>
    <col min="1354" max="1354" width="13.7109375" style="119" customWidth="1"/>
    <col min="1355" max="1355" width="41.42578125" style="119" customWidth="1"/>
    <col min="1356" max="1357" width="12.5703125" style="119"/>
    <col min="1358" max="1358" width="13.85546875" style="119" customWidth="1"/>
    <col min="1359" max="1520" width="12.5703125" style="119"/>
    <col min="1521" max="1521" width="2" style="119" customWidth="1"/>
    <col min="1522" max="1522" width="31.85546875" style="119" customWidth="1"/>
    <col min="1523" max="1523" width="10" style="119" bestFit="1" customWidth="1"/>
    <col min="1524" max="1524" width="8.140625" style="119" customWidth="1"/>
    <col min="1525" max="1525" width="8.42578125" style="119" bestFit="1" customWidth="1"/>
    <col min="1526" max="1526" width="8" style="119" customWidth="1"/>
    <col min="1527" max="1530" width="0" style="119" hidden="1" customWidth="1"/>
    <col min="1531" max="1532" width="7.85546875" style="119" bestFit="1" customWidth="1"/>
    <col min="1533" max="1533" width="8.7109375" style="119" bestFit="1" customWidth="1"/>
    <col min="1534" max="1534" width="7.42578125" style="119" customWidth="1"/>
    <col min="1535" max="1535" width="6.28515625" style="119" customWidth="1"/>
    <col min="1536" max="1573" width="0" style="119" hidden="1" customWidth="1"/>
    <col min="1574" max="1574" width="15.42578125" style="119" bestFit="1" customWidth="1"/>
    <col min="1575" max="1576" width="15.28515625" style="119" customWidth="1"/>
    <col min="1577" max="1577" width="18" style="119" customWidth="1"/>
    <col min="1578" max="1578" width="14" style="119" customWidth="1"/>
    <col min="1579" max="1579" width="13.42578125" style="119" customWidth="1"/>
    <col min="1580" max="1580" width="15" style="119" customWidth="1"/>
    <col min="1581" max="1581" width="15.28515625" style="119" customWidth="1"/>
    <col min="1582" max="1582" width="14" style="119" customWidth="1"/>
    <col min="1583" max="1584" width="12.140625" style="119" customWidth="1"/>
    <col min="1585" max="1585" width="16.140625" style="119" customWidth="1"/>
    <col min="1586" max="1586" width="14.140625" style="119" customWidth="1"/>
    <col min="1587" max="1587" width="14.42578125" style="119" customWidth="1"/>
    <col min="1588" max="1588" width="12.5703125" style="119"/>
    <col min="1589" max="1589" width="8.85546875" style="119" customWidth="1"/>
    <col min="1590" max="1591" width="14" style="119" customWidth="1"/>
    <col min="1592" max="1592" width="13.85546875" style="119" customWidth="1"/>
    <col min="1593" max="1593" width="13.140625" style="119" customWidth="1"/>
    <col min="1594" max="1594" width="14.42578125" style="119" customWidth="1"/>
    <col min="1595" max="1595" width="17.5703125" style="119" customWidth="1"/>
    <col min="1596" max="1596" width="17.28515625" style="119" customWidth="1"/>
    <col min="1597" max="1597" width="15.140625" style="119" bestFit="1" customWidth="1"/>
    <col min="1598" max="1598" width="14.140625" style="119" bestFit="1" customWidth="1"/>
    <col min="1599" max="1599" width="13.85546875" style="119" customWidth="1"/>
    <col min="1600" max="1600" width="12.85546875" style="119" bestFit="1" customWidth="1"/>
    <col min="1601" max="1601" width="9.85546875" style="119" customWidth="1"/>
    <col min="1602" max="1602" width="13" style="119" customWidth="1"/>
    <col min="1603" max="1603" width="11.28515625" style="119" customWidth="1"/>
    <col min="1604" max="1604" width="14.7109375" style="119" bestFit="1" customWidth="1"/>
    <col min="1605" max="1607" width="0" style="119" hidden="1" customWidth="1"/>
    <col min="1608" max="1608" width="2" style="119" customWidth="1"/>
    <col min="1609" max="1609" width="9.28515625" style="119" customWidth="1"/>
    <col min="1610" max="1610" width="13.7109375" style="119" customWidth="1"/>
    <col min="1611" max="1611" width="41.42578125" style="119" customWidth="1"/>
    <col min="1612" max="1613" width="12.5703125" style="119"/>
    <col min="1614" max="1614" width="13.85546875" style="119" customWidth="1"/>
    <col min="1615" max="1776" width="12.5703125" style="119"/>
    <col min="1777" max="1777" width="2" style="119" customWidth="1"/>
    <col min="1778" max="1778" width="31.85546875" style="119" customWidth="1"/>
    <col min="1779" max="1779" width="10" style="119" bestFit="1" customWidth="1"/>
    <col min="1780" max="1780" width="8.140625" style="119" customWidth="1"/>
    <col min="1781" max="1781" width="8.42578125" style="119" bestFit="1" customWidth="1"/>
    <col min="1782" max="1782" width="8" style="119" customWidth="1"/>
    <col min="1783" max="1786" width="0" style="119" hidden="1" customWidth="1"/>
    <col min="1787" max="1788" width="7.85546875" style="119" bestFit="1" customWidth="1"/>
    <col min="1789" max="1789" width="8.7109375" style="119" bestFit="1" customWidth="1"/>
    <col min="1790" max="1790" width="7.42578125" style="119" customWidth="1"/>
    <col min="1791" max="1791" width="6.28515625" style="119" customWidth="1"/>
    <col min="1792" max="1829" width="0" style="119" hidden="1" customWidth="1"/>
    <col min="1830" max="1830" width="15.42578125" style="119" bestFit="1" customWidth="1"/>
    <col min="1831" max="1832" width="15.28515625" style="119" customWidth="1"/>
    <col min="1833" max="1833" width="18" style="119" customWidth="1"/>
    <col min="1834" max="1834" width="14" style="119" customWidth="1"/>
    <col min="1835" max="1835" width="13.42578125" style="119" customWidth="1"/>
    <col min="1836" max="1836" width="15" style="119" customWidth="1"/>
    <col min="1837" max="1837" width="15.28515625" style="119" customWidth="1"/>
    <col min="1838" max="1838" width="14" style="119" customWidth="1"/>
    <col min="1839" max="1840" width="12.140625" style="119" customWidth="1"/>
    <col min="1841" max="1841" width="16.140625" style="119" customWidth="1"/>
    <col min="1842" max="1842" width="14.140625" style="119" customWidth="1"/>
    <col min="1843" max="1843" width="14.42578125" style="119" customWidth="1"/>
    <col min="1844" max="1844" width="12.5703125" style="119"/>
    <col min="1845" max="1845" width="8.85546875" style="119" customWidth="1"/>
    <col min="1846" max="1847" width="14" style="119" customWidth="1"/>
    <col min="1848" max="1848" width="13.85546875" style="119" customWidth="1"/>
    <col min="1849" max="1849" width="13.140625" style="119" customWidth="1"/>
    <col min="1850" max="1850" width="14.42578125" style="119" customWidth="1"/>
    <col min="1851" max="1851" width="17.5703125" style="119" customWidth="1"/>
    <col min="1852" max="1852" width="17.28515625" style="119" customWidth="1"/>
    <col min="1853" max="1853" width="15.140625" style="119" bestFit="1" customWidth="1"/>
    <col min="1854" max="1854" width="14.140625" style="119" bestFit="1" customWidth="1"/>
    <col min="1855" max="1855" width="13.85546875" style="119" customWidth="1"/>
    <col min="1856" max="1856" width="12.85546875" style="119" bestFit="1" customWidth="1"/>
    <col min="1857" max="1857" width="9.85546875" style="119" customWidth="1"/>
    <col min="1858" max="1858" width="13" style="119" customWidth="1"/>
    <col min="1859" max="1859" width="11.28515625" style="119" customWidth="1"/>
    <col min="1860" max="1860" width="14.7109375" style="119" bestFit="1" customWidth="1"/>
    <col min="1861" max="1863" width="0" style="119" hidden="1" customWidth="1"/>
    <col min="1864" max="1864" width="2" style="119" customWidth="1"/>
    <col min="1865" max="1865" width="9.28515625" style="119" customWidth="1"/>
    <col min="1866" max="1866" width="13.7109375" style="119" customWidth="1"/>
    <col min="1867" max="1867" width="41.42578125" style="119" customWidth="1"/>
    <col min="1868" max="1869" width="12.5703125" style="119"/>
    <col min="1870" max="1870" width="13.85546875" style="119" customWidth="1"/>
    <col min="1871" max="2032" width="12.5703125" style="119"/>
    <col min="2033" max="2033" width="2" style="119" customWidth="1"/>
    <col min="2034" max="2034" width="31.85546875" style="119" customWidth="1"/>
    <col min="2035" max="2035" width="10" style="119" bestFit="1" customWidth="1"/>
    <col min="2036" max="2036" width="8.140625" style="119" customWidth="1"/>
    <col min="2037" max="2037" width="8.42578125" style="119" bestFit="1" customWidth="1"/>
    <col min="2038" max="2038" width="8" style="119" customWidth="1"/>
    <col min="2039" max="2042" width="0" style="119" hidden="1" customWidth="1"/>
    <col min="2043" max="2044" width="7.85546875" style="119" bestFit="1" customWidth="1"/>
    <col min="2045" max="2045" width="8.7109375" style="119" bestFit="1" customWidth="1"/>
    <col min="2046" max="2046" width="7.42578125" style="119" customWidth="1"/>
    <col min="2047" max="2047" width="6.28515625" style="119" customWidth="1"/>
    <col min="2048" max="2085" width="0" style="119" hidden="1" customWidth="1"/>
    <col min="2086" max="2086" width="15.42578125" style="119" bestFit="1" customWidth="1"/>
    <col min="2087" max="2088" width="15.28515625" style="119" customWidth="1"/>
    <col min="2089" max="2089" width="18" style="119" customWidth="1"/>
    <col min="2090" max="2090" width="14" style="119" customWidth="1"/>
    <col min="2091" max="2091" width="13.42578125" style="119" customWidth="1"/>
    <col min="2092" max="2092" width="15" style="119" customWidth="1"/>
    <col min="2093" max="2093" width="15.28515625" style="119" customWidth="1"/>
    <col min="2094" max="2094" width="14" style="119" customWidth="1"/>
    <col min="2095" max="2096" width="12.140625" style="119" customWidth="1"/>
    <col min="2097" max="2097" width="16.140625" style="119" customWidth="1"/>
    <col min="2098" max="2098" width="14.140625" style="119" customWidth="1"/>
    <col min="2099" max="2099" width="14.42578125" style="119" customWidth="1"/>
    <col min="2100" max="2100" width="12.5703125" style="119"/>
    <col min="2101" max="2101" width="8.85546875" style="119" customWidth="1"/>
    <col min="2102" max="2103" width="14" style="119" customWidth="1"/>
    <col min="2104" max="2104" width="13.85546875" style="119" customWidth="1"/>
    <col min="2105" max="2105" width="13.140625" style="119" customWidth="1"/>
    <col min="2106" max="2106" width="14.42578125" style="119" customWidth="1"/>
    <col min="2107" max="2107" width="17.5703125" style="119" customWidth="1"/>
    <col min="2108" max="2108" width="17.28515625" style="119" customWidth="1"/>
    <col min="2109" max="2109" width="15.140625" style="119" bestFit="1" customWidth="1"/>
    <col min="2110" max="2110" width="14.140625" style="119" bestFit="1" customWidth="1"/>
    <col min="2111" max="2111" width="13.85546875" style="119" customWidth="1"/>
    <col min="2112" max="2112" width="12.85546875" style="119" bestFit="1" customWidth="1"/>
    <col min="2113" max="2113" width="9.85546875" style="119" customWidth="1"/>
    <col min="2114" max="2114" width="13" style="119" customWidth="1"/>
    <col min="2115" max="2115" width="11.28515625" style="119" customWidth="1"/>
    <col min="2116" max="2116" width="14.7109375" style="119" bestFit="1" customWidth="1"/>
    <col min="2117" max="2119" width="0" style="119" hidden="1" customWidth="1"/>
    <col min="2120" max="2120" width="2" style="119" customWidth="1"/>
    <col min="2121" max="2121" width="9.28515625" style="119" customWidth="1"/>
    <col min="2122" max="2122" width="13.7109375" style="119" customWidth="1"/>
    <col min="2123" max="2123" width="41.42578125" style="119" customWidth="1"/>
    <col min="2124" max="2125" width="12.5703125" style="119"/>
    <col min="2126" max="2126" width="13.85546875" style="119" customWidth="1"/>
    <col min="2127" max="2288" width="12.5703125" style="119"/>
    <col min="2289" max="2289" width="2" style="119" customWidth="1"/>
    <col min="2290" max="2290" width="31.85546875" style="119" customWidth="1"/>
    <col min="2291" max="2291" width="10" style="119" bestFit="1" customWidth="1"/>
    <col min="2292" max="2292" width="8.140625" style="119" customWidth="1"/>
    <col min="2293" max="2293" width="8.42578125" style="119" bestFit="1" customWidth="1"/>
    <col min="2294" max="2294" width="8" style="119" customWidth="1"/>
    <col min="2295" max="2298" width="0" style="119" hidden="1" customWidth="1"/>
    <col min="2299" max="2300" width="7.85546875" style="119" bestFit="1" customWidth="1"/>
    <col min="2301" max="2301" width="8.7109375" style="119" bestFit="1" customWidth="1"/>
    <col min="2302" max="2302" width="7.42578125" style="119" customWidth="1"/>
    <col min="2303" max="2303" width="6.28515625" style="119" customWidth="1"/>
    <col min="2304" max="2341" width="0" style="119" hidden="1" customWidth="1"/>
    <col min="2342" max="2342" width="15.42578125" style="119" bestFit="1" customWidth="1"/>
    <col min="2343" max="2344" width="15.28515625" style="119" customWidth="1"/>
    <col min="2345" max="2345" width="18" style="119" customWidth="1"/>
    <col min="2346" max="2346" width="14" style="119" customWidth="1"/>
    <col min="2347" max="2347" width="13.42578125" style="119" customWidth="1"/>
    <col min="2348" max="2348" width="15" style="119" customWidth="1"/>
    <col min="2349" max="2349" width="15.28515625" style="119" customWidth="1"/>
    <col min="2350" max="2350" width="14" style="119" customWidth="1"/>
    <col min="2351" max="2352" width="12.140625" style="119" customWidth="1"/>
    <col min="2353" max="2353" width="16.140625" style="119" customWidth="1"/>
    <col min="2354" max="2354" width="14.140625" style="119" customWidth="1"/>
    <col min="2355" max="2355" width="14.42578125" style="119" customWidth="1"/>
    <col min="2356" max="2356" width="12.5703125" style="119"/>
    <col min="2357" max="2357" width="8.85546875" style="119" customWidth="1"/>
    <col min="2358" max="2359" width="14" style="119" customWidth="1"/>
    <col min="2360" max="2360" width="13.85546875" style="119" customWidth="1"/>
    <col min="2361" max="2361" width="13.140625" style="119" customWidth="1"/>
    <col min="2362" max="2362" width="14.42578125" style="119" customWidth="1"/>
    <col min="2363" max="2363" width="17.5703125" style="119" customWidth="1"/>
    <col min="2364" max="2364" width="17.28515625" style="119" customWidth="1"/>
    <col min="2365" max="2365" width="15.140625" style="119" bestFit="1" customWidth="1"/>
    <col min="2366" max="2366" width="14.140625" style="119" bestFit="1" customWidth="1"/>
    <col min="2367" max="2367" width="13.85546875" style="119" customWidth="1"/>
    <col min="2368" max="2368" width="12.85546875" style="119" bestFit="1" customWidth="1"/>
    <col min="2369" max="2369" width="9.85546875" style="119" customWidth="1"/>
    <col min="2370" max="2370" width="13" style="119" customWidth="1"/>
    <col min="2371" max="2371" width="11.28515625" style="119" customWidth="1"/>
    <col min="2372" max="2372" width="14.7109375" style="119" bestFit="1" customWidth="1"/>
    <col min="2373" max="2375" width="0" style="119" hidden="1" customWidth="1"/>
    <col min="2376" max="2376" width="2" style="119" customWidth="1"/>
    <col min="2377" max="2377" width="9.28515625" style="119" customWidth="1"/>
    <col min="2378" max="2378" width="13.7109375" style="119" customWidth="1"/>
    <col min="2379" max="2379" width="41.42578125" style="119" customWidth="1"/>
    <col min="2380" max="2381" width="12.5703125" style="119"/>
    <col min="2382" max="2382" width="13.85546875" style="119" customWidth="1"/>
    <col min="2383" max="2544" width="12.5703125" style="119"/>
    <col min="2545" max="2545" width="2" style="119" customWidth="1"/>
    <col min="2546" max="2546" width="31.85546875" style="119" customWidth="1"/>
    <col min="2547" max="2547" width="10" style="119" bestFit="1" customWidth="1"/>
    <col min="2548" max="2548" width="8.140625" style="119" customWidth="1"/>
    <col min="2549" max="2549" width="8.42578125" style="119" bestFit="1" customWidth="1"/>
    <col min="2550" max="2550" width="8" style="119" customWidth="1"/>
    <col min="2551" max="2554" width="0" style="119" hidden="1" customWidth="1"/>
    <col min="2555" max="2556" width="7.85546875" style="119" bestFit="1" customWidth="1"/>
    <col min="2557" max="2557" width="8.7109375" style="119" bestFit="1" customWidth="1"/>
    <col min="2558" max="2558" width="7.42578125" style="119" customWidth="1"/>
    <col min="2559" max="2559" width="6.28515625" style="119" customWidth="1"/>
    <col min="2560" max="2597" width="0" style="119" hidden="1" customWidth="1"/>
    <col min="2598" max="2598" width="15.42578125" style="119" bestFit="1" customWidth="1"/>
    <col min="2599" max="2600" width="15.28515625" style="119" customWidth="1"/>
    <col min="2601" max="2601" width="18" style="119" customWidth="1"/>
    <col min="2602" max="2602" width="14" style="119" customWidth="1"/>
    <col min="2603" max="2603" width="13.42578125" style="119" customWidth="1"/>
    <col min="2604" max="2604" width="15" style="119" customWidth="1"/>
    <col min="2605" max="2605" width="15.28515625" style="119" customWidth="1"/>
    <col min="2606" max="2606" width="14" style="119" customWidth="1"/>
    <col min="2607" max="2608" width="12.140625" style="119" customWidth="1"/>
    <col min="2609" max="2609" width="16.140625" style="119" customWidth="1"/>
    <col min="2610" max="2610" width="14.140625" style="119" customWidth="1"/>
    <col min="2611" max="2611" width="14.42578125" style="119" customWidth="1"/>
    <col min="2612" max="2612" width="12.5703125" style="119"/>
    <col min="2613" max="2613" width="8.85546875" style="119" customWidth="1"/>
    <col min="2614" max="2615" width="14" style="119" customWidth="1"/>
    <col min="2616" max="2616" width="13.85546875" style="119" customWidth="1"/>
    <col min="2617" max="2617" width="13.140625" style="119" customWidth="1"/>
    <col min="2618" max="2618" width="14.42578125" style="119" customWidth="1"/>
    <col min="2619" max="2619" width="17.5703125" style="119" customWidth="1"/>
    <col min="2620" max="2620" width="17.28515625" style="119" customWidth="1"/>
    <col min="2621" max="2621" width="15.140625" style="119" bestFit="1" customWidth="1"/>
    <col min="2622" max="2622" width="14.140625" style="119" bestFit="1" customWidth="1"/>
    <col min="2623" max="2623" width="13.85546875" style="119" customWidth="1"/>
    <col min="2624" max="2624" width="12.85546875" style="119" bestFit="1" customWidth="1"/>
    <col min="2625" max="2625" width="9.85546875" style="119" customWidth="1"/>
    <col min="2626" max="2626" width="13" style="119" customWidth="1"/>
    <col min="2627" max="2627" width="11.28515625" style="119" customWidth="1"/>
    <col min="2628" max="2628" width="14.7109375" style="119" bestFit="1" customWidth="1"/>
    <col min="2629" max="2631" width="0" style="119" hidden="1" customWidth="1"/>
    <col min="2632" max="2632" width="2" style="119" customWidth="1"/>
    <col min="2633" max="2633" width="9.28515625" style="119" customWidth="1"/>
    <col min="2634" max="2634" width="13.7109375" style="119" customWidth="1"/>
    <col min="2635" max="2635" width="41.42578125" style="119" customWidth="1"/>
    <col min="2636" max="2637" width="12.5703125" style="119"/>
    <col min="2638" max="2638" width="13.85546875" style="119" customWidth="1"/>
    <col min="2639" max="2800" width="12.5703125" style="119"/>
    <col min="2801" max="2801" width="2" style="119" customWidth="1"/>
    <col min="2802" max="2802" width="31.85546875" style="119" customWidth="1"/>
    <col min="2803" max="2803" width="10" style="119" bestFit="1" customWidth="1"/>
    <col min="2804" max="2804" width="8.140625" style="119" customWidth="1"/>
    <col min="2805" max="2805" width="8.42578125" style="119" bestFit="1" customWidth="1"/>
    <col min="2806" max="2806" width="8" style="119" customWidth="1"/>
    <col min="2807" max="2810" width="0" style="119" hidden="1" customWidth="1"/>
    <col min="2811" max="2812" width="7.85546875" style="119" bestFit="1" customWidth="1"/>
    <col min="2813" max="2813" width="8.7109375" style="119" bestFit="1" customWidth="1"/>
    <col min="2814" max="2814" width="7.42578125" style="119" customWidth="1"/>
    <col min="2815" max="2815" width="6.28515625" style="119" customWidth="1"/>
    <col min="2816" max="2853" width="0" style="119" hidden="1" customWidth="1"/>
    <col min="2854" max="2854" width="15.42578125" style="119" bestFit="1" customWidth="1"/>
    <col min="2855" max="2856" width="15.28515625" style="119" customWidth="1"/>
    <col min="2857" max="2857" width="18" style="119" customWidth="1"/>
    <col min="2858" max="2858" width="14" style="119" customWidth="1"/>
    <col min="2859" max="2859" width="13.42578125" style="119" customWidth="1"/>
    <col min="2860" max="2860" width="15" style="119" customWidth="1"/>
    <col min="2861" max="2861" width="15.28515625" style="119" customWidth="1"/>
    <col min="2862" max="2862" width="14" style="119" customWidth="1"/>
    <col min="2863" max="2864" width="12.140625" style="119" customWidth="1"/>
    <col min="2865" max="2865" width="16.140625" style="119" customWidth="1"/>
    <col min="2866" max="2866" width="14.140625" style="119" customWidth="1"/>
    <col min="2867" max="2867" width="14.42578125" style="119" customWidth="1"/>
    <col min="2868" max="2868" width="12.5703125" style="119"/>
    <col min="2869" max="2869" width="8.85546875" style="119" customWidth="1"/>
    <col min="2870" max="2871" width="14" style="119" customWidth="1"/>
    <col min="2872" max="2872" width="13.85546875" style="119" customWidth="1"/>
    <col min="2873" max="2873" width="13.140625" style="119" customWidth="1"/>
    <col min="2874" max="2874" width="14.42578125" style="119" customWidth="1"/>
    <col min="2875" max="2875" width="17.5703125" style="119" customWidth="1"/>
    <col min="2876" max="2876" width="17.28515625" style="119" customWidth="1"/>
    <col min="2877" max="2877" width="15.140625" style="119" bestFit="1" customWidth="1"/>
    <col min="2878" max="2878" width="14.140625" style="119" bestFit="1" customWidth="1"/>
    <col min="2879" max="2879" width="13.85546875" style="119" customWidth="1"/>
    <col min="2880" max="2880" width="12.85546875" style="119" bestFit="1" customWidth="1"/>
    <col min="2881" max="2881" width="9.85546875" style="119" customWidth="1"/>
    <col min="2882" max="2882" width="13" style="119" customWidth="1"/>
    <col min="2883" max="2883" width="11.28515625" style="119" customWidth="1"/>
    <col min="2884" max="2884" width="14.7109375" style="119" bestFit="1" customWidth="1"/>
    <col min="2885" max="2887" width="0" style="119" hidden="1" customWidth="1"/>
    <col min="2888" max="2888" width="2" style="119" customWidth="1"/>
    <col min="2889" max="2889" width="9.28515625" style="119" customWidth="1"/>
    <col min="2890" max="2890" width="13.7109375" style="119" customWidth="1"/>
    <col min="2891" max="2891" width="41.42578125" style="119" customWidth="1"/>
    <col min="2892" max="2893" width="12.5703125" style="119"/>
    <col min="2894" max="2894" width="13.85546875" style="119" customWidth="1"/>
    <col min="2895" max="3056" width="12.5703125" style="119"/>
    <col min="3057" max="3057" width="2" style="119" customWidth="1"/>
    <col min="3058" max="3058" width="31.85546875" style="119" customWidth="1"/>
    <col min="3059" max="3059" width="10" style="119" bestFit="1" customWidth="1"/>
    <col min="3060" max="3060" width="8.140625" style="119" customWidth="1"/>
    <col min="3061" max="3061" width="8.42578125" style="119" bestFit="1" customWidth="1"/>
    <col min="3062" max="3062" width="8" style="119" customWidth="1"/>
    <col min="3063" max="3066" width="0" style="119" hidden="1" customWidth="1"/>
    <col min="3067" max="3068" width="7.85546875" style="119" bestFit="1" customWidth="1"/>
    <col min="3069" max="3069" width="8.7109375" style="119" bestFit="1" customWidth="1"/>
    <col min="3070" max="3070" width="7.42578125" style="119" customWidth="1"/>
    <col min="3071" max="3071" width="6.28515625" style="119" customWidth="1"/>
    <col min="3072" max="3109" width="0" style="119" hidden="1" customWidth="1"/>
    <col min="3110" max="3110" width="15.42578125" style="119" bestFit="1" customWidth="1"/>
    <col min="3111" max="3112" width="15.28515625" style="119" customWidth="1"/>
    <col min="3113" max="3113" width="18" style="119" customWidth="1"/>
    <col min="3114" max="3114" width="14" style="119" customWidth="1"/>
    <col min="3115" max="3115" width="13.42578125" style="119" customWidth="1"/>
    <col min="3116" max="3116" width="15" style="119" customWidth="1"/>
    <col min="3117" max="3117" width="15.28515625" style="119" customWidth="1"/>
    <col min="3118" max="3118" width="14" style="119" customWidth="1"/>
    <col min="3119" max="3120" width="12.140625" style="119" customWidth="1"/>
    <col min="3121" max="3121" width="16.140625" style="119" customWidth="1"/>
    <col min="3122" max="3122" width="14.140625" style="119" customWidth="1"/>
    <col min="3123" max="3123" width="14.42578125" style="119" customWidth="1"/>
    <col min="3124" max="3124" width="12.5703125" style="119"/>
    <col min="3125" max="3125" width="8.85546875" style="119" customWidth="1"/>
    <col min="3126" max="3127" width="14" style="119" customWidth="1"/>
    <col min="3128" max="3128" width="13.85546875" style="119" customWidth="1"/>
    <col min="3129" max="3129" width="13.140625" style="119" customWidth="1"/>
    <col min="3130" max="3130" width="14.42578125" style="119" customWidth="1"/>
    <col min="3131" max="3131" width="17.5703125" style="119" customWidth="1"/>
    <col min="3132" max="3132" width="17.28515625" style="119" customWidth="1"/>
    <col min="3133" max="3133" width="15.140625" style="119" bestFit="1" customWidth="1"/>
    <col min="3134" max="3134" width="14.140625" style="119" bestFit="1" customWidth="1"/>
    <col min="3135" max="3135" width="13.85546875" style="119" customWidth="1"/>
    <col min="3136" max="3136" width="12.85546875" style="119" bestFit="1" customWidth="1"/>
    <col min="3137" max="3137" width="9.85546875" style="119" customWidth="1"/>
    <col min="3138" max="3138" width="13" style="119" customWidth="1"/>
    <col min="3139" max="3139" width="11.28515625" style="119" customWidth="1"/>
    <col min="3140" max="3140" width="14.7109375" style="119" bestFit="1" customWidth="1"/>
    <col min="3141" max="3143" width="0" style="119" hidden="1" customWidth="1"/>
    <col min="3144" max="3144" width="2" style="119" customWidth="1"/>
    <col min="3145" max="3145" width="9.28515625" style="119" customWidth="1"/>
    <col min="3146" max="3146" width="13.7109375" style="119" customWidth="1"/>
    <col min="3147" max="3147" width="41.42578125" style="119" customWidth="1"/>
    <col min="3148" max="3149" width="12.5703125" style="119"/>
    <col min="3150" max="3150" width="13.85546875" style="119" customWidth="1"/>
    <col min="3151" max="3312" width="12.5703125" style="119"/>
    <col min="3313" max="3313" width="2" style="119" customWidth="1"/>
    <col min="3314" max="3314" width="31.85546875" style="119" customWidth="1"/>
    <col min="3315" max="3315" width="10" style="119" bestFit="1" customWidth="1"/>
    <col min="3316" max="3316" width="8.140625" style="119" customWidth="1"/>
    <col min="3317" max="3317" width="8.42578125" style="119" bestFit="1" customWidth="1"/>
    <col min="3318" max="3318" width="8" style="119" customWidth="1"/>
    <col min="3319" max="3322" width="0" style="119" hidden="1" customWidth="1"/>
    <col min="3323" max="3324" width="7.85546875" style="119" bestFit="1" customWidth="1"/>
    <col min="3325" max="3325" width="8.7109375" style="119" bestFit="1" customWidth="1"/>
    <col min="3326" max="3326" width="7.42578125" style="119" customWidth="1"/>
    <col min="3327" max="3327" width="6.28515625" style="119" customWidth="1"/>
    <col min="3328" max="3365" width="0" style="119" hidden="1" customWidth="1"/>
    <col min="3366" max="3366" width="15.42578125" style="119" bestFit="1" customWidth="1"/>
    <col min="3367" max="3368" width="15.28515625" style="119" customWidth="1"/>
    <col min="3369" max="3369" width="18" style="119" customWidth="1"/>
    <col min="3370" max="3370" width="14" style="119" customWidth="1"/>
    <col min="3371" max="3371" width="13.42578125" style="119" customWidth="1"/>
    <col min="3372" max="3372" width="15" style="119" customWidth="1"/>
    <col min="3373" max="3373" width="15.28515625" style="119" customWidth="1"/>
    <col min="3374" max="3374" width="14" style="119" customWidth="1"/>
    <col min="3375" max="3376" width="12.140625" style="119" customWidth="1"/>
    <col min="3377" max="3377" width="16.140625" style="119" customWidth="1"/>
    <col min="3378" max="3378" width="14.140625" style="119" customWidth="1"/>
    <col min="3379" max="3379" width="14.42578125" style="119" customWidth="1"/>
    <col min="3380" max="3380" width="12.5703125" style="119"/>
    <col min="3381" max="3381" width="8.85546875" style="119" customWidth="1"/>
    <col min="3382" max="3383" width="14" style="119" customWidth="1"/>
    <col min="3384" max="3384" width="13.85546875" style="119" customWidth="1"/>
    <col min="3385" max="3385" width="13.140625" style="119" customWidth="1"/>
    <col min="3386" max="3386" width="14.42578125" style="119" customWidth="1"/>
    <col min="3387" max="3387" width="17.5703125" style="119" customWidth="1"/>
    <col min="3388" max="3388" width="17.28515625" style="119" customWidth="1"/>
    <col min="3389" max="3389" width="15.140625" style="119" bestFit="1" customWidth="1"/>
    <col min="3390" max="3390" width="14.140625" style="119" bestFit="1" customWidth="1"/>
    <col min="3391" max="3391" width="13.85546875" style="119" customWidth="1"/>
    <col min="3392" max="3392" width="12.85546875" style="119" bestFit="1" customWidth="1"/>
    <col min="3393" max="3393" width="9.85546875" style="119" customWidth="1"/>
    <col min="3394" max="3394" width="13" style="119" customWidth="1"/>
    <col min="3395" max="3395" width="11.28515625" style="119" customWidth="1"/>
    <col min="3396" max="3396" width="14.7109375" style="119" bestFit="1" customWidth="1"/>
    <col min="3397" max="3399" width="0" style="119" hidden="1" customWidth="1"/>
    <col min="3400" max="3400" width="2" style="119" customWidth="1"/>
    <col min="3401" max="3401" width="9.28515625" style="119" customWidth="1"/>
    <col min="3402" max="3402" width="13.7109375" style="119" customWidth="1"/>
    <col min="3403" max="3403" width="41.42578125" style="119" customWidth="1"/>
    <col min="3404" max="3405" width="12.5703125" style="119"/>
    <col min="3406" max="3406" width="13.85546875" style="119" customWidth="1"/>
    <col min="3407" max="3568" width="12.5703125" style="119"/>
    <col min="3569" max="3569" width="2" style="119" customWidth="1"/>
    <col min="3570" max="3570" width="31.85546875" style="119" customWidth="1"/>
    <col min="3571" max="3571" width="10" style="119" bestFit="1" customWidth="1"/>
    <col min="3572" max="3572" width="8.140625" style="119" customWidth="1"/>
    <col min="3573" max="3573" width="8.42578125" style="119" bestFit="1" customWidth="1"/>
    <col min="3574" max="3574" width="8" style="119" customWidth="1"/>
    <col min="3575" max="3578" width="0" style="119" hidden="1" customWidth="1"/>
    <col min="3579" max="3580" width="7.85546875" style="119" bestFit="1" customWidth="1"/>
    <col min="3581" max="3581" width="8.7109375" style="119" bestFit="1" customWidth="1"/>
    <col min="3582" max="3582" width="7.42578125" style="119" customWidth="1"/>
    <col min="3583" max="3583" width="6.28515625" style="119" customWidth="1"/>
    <col min="3584" max="3621" width="0" style="119" hidden="1" customWidth="1"/>
    <col min="3622" max="3622" width="15.42578125" style="119" bestFit="1" customWidth="1"/>
    <col min="3623" max="3624" width="15.28515625" style="119" customWidth="1"/>
    <col min="3625" max="3625" width="18" style="119" customWidth="1"/>
    <col min="3626" max="3626" width="14" style="119" customWidth="1"/>
    <col min="3627" max="3627" width="13.42578125" style="119" customWidth="1"/>
    <col min="3628" max="3628" width="15" style="119" customWidth="1"/>
    <col min="3629" max="3629" width="15.28515625" style="119" customWidth="1"/>
    <col min="3630" max="3630" width="14" style="119" customWidth="1"/>
    <col min="3631" max="3632" width="12.140625" style="119" customWidth="1"/>
    <col min="3633" max="3633" width="16.140625" style="119" customWidth="1"/>
    <col min="3634" max="3634" width="14.140625" style="119" customWidth="1"/>
    <col min="3635" max="3635" width="14.42578125" style="119" customWidth="1"/>
    <col min="3636" max="3636" width="12.5703125" style="119"/>
    <col min="3637" max="3637" width="8.85546875" style="119" customWidth="1"/>
    <col min="3638" max="3639" width="14" style="119" customWidth="1"/>
    <col min="3640" max="3640" width="13.85546875" style="119" customWidth="1"/>
    <col min="3641" max="3641" width="13.140625" style="119" customWidth="1"/>
    <col min="3642" max="3642" width="14.42578125" style="119" customWidth="1"/>
    <col min="3643" max="3643" width="17.5703125" style="119" customWidth="1"/>
    <col min="3644" max="3644" width="17.28515625" style="119" customWidth="1"/>
    <col min="3645" max="3645" width="15.140625" style="119" bestFit="1" customWidth="1"/>
    <col min="3646" max="3646" width="14.140625" style="119" bestFit="1" customWidth="1"/>
    <col min="3647" max="3647" width="13.85546875" style="119" customWidth="1"/>
    <col min="3648" max="3648" width="12.85546875" style="119" bestFit="1" customWidth="1"/>
    <col min="3649" max="3649" width="9.85546875" style="119" customWidth="1"/>
    <col min="3650" max="3650" width="13" style="119" customWidth="1"/>
    <col min="3651" max="3651" width="11.28515625" style="119" customWidth="1"/>
    <col min="3652" max="3652" width="14.7109375" style="119" bestFit="1" customWidth="1"/>
    <col min="3653" max="3655" width="0" style="119" hidden="1" customWidth="1"/>
    <col min="3656" max="3656" width="2" style="119" customWidth="1"/>
    <col min="3657" max="3657" width="9.28515625" style="119" customWidth="1"/>
    <col min="3658" max="3658" width="13.7109375" style="119" customWidth="1"/>
    <col min="3659" max="3659" width="41.42578125" style="119" customWidth="1"/>
    <col min="3660" max="3661" width="12.5703125" style="119"/>
    <col min="3662" max="3662" width="13.85546875" style="119" customWidth="1"/>
    <col min="3663" max="3824" width="12.5703125" style="119"/>
    <col min="3825" max="3825" width="2" style="119" customWidth="1"/>
    <col min="3826" max="3826" width="31.85546875" style="119" customWidth="1"/>
    <col min="3827" max="3827" width="10" style="119" bestFit="1" customWidth="1"/>
    <col min="3828" max="3828" width="8.140625" style="119" customWidth="1"/>
    <col min="3829" max="3829" width="8.42578125" style="119" bestFit="1" customWidth="1"/>
    <col min="3830" max="3830" width="8" style="119" customWidth="1"/>
    <col min="3831" max="3834" width="0" style="119" hidden="1" customWidth="1"/>
    <col min="3835" max="3836" width="7.85546875" style="119" bestFit="1" customWidth="1"/>
    <col min="3837" max="3837" width="8.7109375" style="119" bestFit="1" customWidth="1"/>
    <col min="3838" max="3838" width="7.42578125" style="119" customWidth="1"/>
    <col min="3839" max="3839" width="6.28515625" style="119" customWidth="1"/>
    <col min="3840" max="3877" width="0" style="119" hidden="1" customWidth="1"/>
    <col min="3878" max="3878" width="15.42578125" style="119" bestFit="1" customWidth="1"/>
    <col min="3879" max="3880" width="15.28515625" style="119" customWidth="1"/>
    <col min="3881" max="3881" width="18" style="119" customWidth="1"/>
    <col min="3882" max="3882" width="14" style="119" customWidth="1"/>
    <col min="3883" max="3883" width="13.42578125" style="119" customWidth="1"/>
    <col min="3884" max="3884" width="15" style="119" customWidth="1"/>
    <col min="3885" max="3885" width="15.28515625" style="119" customWidth="1"/>
    <col min="3886" max="3886" width="14" style="119" customWidth="1"/>
    <col min="3887" max="3888" width="12.140625" style="119" customWidth="1"/>
    <col min="3889" max="3889" width="16.140625" style="119" customWidth="1"/>
    <col min="3890" max="3890" width="14.140625" style="119" customWidth="1"/>
    <col min="3891" max="3891" width="14.42578125" style="119" customWidth="1"/>
    <col min="3892" max="3892" width="12.5703125" style="119"/>
    <col min="3893" max="3893" width="8.85546875" style="119" customWidth="1"/>
    <col min="3894" max="3895" width="14" style="119" customWidth="1"/>
    <col min="3896" max="3896" width="13.85546875" style="119" customWidth="1"/>
    <col min="3897" max="3897" width="13.140625" style="119" customWidth="1"/>
    <col min="3898" max="3898" width="14.42578125" style="119" customWidth="1"/>
    <col min="3899" max="3899" width="17.5703125" style="119" customWidth="1"/>
    <col min="3900" max="3900" width="17.28515625" style="119" customWidth="1"/>
    <col min="3901" max="3901" width="15.140625" style="119" bestFit="1" customWidth="1"/>
    <col min="3902" max="3902" width="14.140625" style="119" bestFit="1" customWidth="1"/>
    <col min="3903" max="3903" width="13.85546875" style="119" customWidth="1"/>
    <col min="3904" max="3904" width="12.85546875" style="119" bestFit="1" customWidth="1"/>
    <col min="3905" max="3905" width="9.85546875" style="119" customWidth="1"/>
    <col min="3906" max="3906" width="13" style="119" customWidth="1"/>
    <col min="3907" max="3907" width="11.28515625" style="119" customWidth="1"/>
    <col min="3908" max="3908" width="14.7109375" style="119" bestFit="1" customWidth="1"/>
    <col min="3909" max="3911" width="0" style="119" hidden="1" customWidth="1"/>
    <col min="3912" max="3912" width="2" style="119" customWidth="1"/>
    <col min="3913" max="3913" width="9.28515625" style="119" customWidth="1"/>
    <col min="3914" max="3914" width="13.7109375" style="119" customWidth="1"/>
    <col min="3915" max="3915" width="41.42578125" style="119" customWidth="1"/>
    <col min="3916" max="3917" width="12.5703125" style="119"/>
    <col min="3918" max="3918" width="13.85546875" style="119" customWidth="1"/>
    <col min="3919" max="4080" width="12.5703125" style="119"/>
    <col min="4081" max="4081" width="2" style="119" customWidth="1"/>
    <col min="4082" max="4082" width="31.85546875" style="119" customWidth="1"/>
    <col min="4083" max="4083" width="10" style="119" bestFit="1" customWidth="1"/>
    <col min="4084" max="4084" width="8.140625" style="119" customWidth="1"/>
    <col min="4085" max="4085" width="8.42578125" style="119" bestFit="1" customWidth="1"/>
    <col min="4086" max="4086" width="8" style="119" customWidth="1"/>
    <col min="4087" max="4090" width="0" style="119" hidden="1" customWidth="1"/>
    <col min="4091" max="4092" width="7.85546875" style="119" bestFit="1" customWidth="1"/>
    <col min="4093" max="4093" width="8.7109375" style="119" bestFit="1" customWidth="1"/>
    <col min="4094" max="4094" width="7.42578125" style="119" customWidth="1"/>
    <col min="4095" max="4095" width="6.28515625" style="119" customWidth="1"/>
    <col min="4096" max="4133" width="0" style="119" hidden="1" customWidth="1"/>
    <col min="4134" max="4134" width="15.42578125" style="119" bestFit="1" customWidth="1"/>
    <col min="4135" max="4136" width="15.28515625" style="119" customWidth="1"/>
    <col min="4137" max="4137" width="18" style="119" customWidth="1"/>
    <col min="4138" max="4138" width="14" style="119" customWidth="1"/>
    <col min="4139" max="4139" width="13.42578125" style="119" customWidth="1"/>
    <col min="4140" max="4140" width="15" style="119" customWidth="1"/>
    <col min="4141" max="4141" width="15.28515625" style="119" customWidth="1"/>
    <col min="4142" max="4142" width="14" style="119" customWidth="1"/>
    <col min="4143" max="4144" width="12.140625" style="119" customWidth="1"/>
    <col min="4145" max="4145" width="16.140625" style="119" customWidth="1"/>
    <col min="4146" max="4146" width="14.140625" style="119" customWidth="1"/>
    <col min="4147" max="4147" width="14.42578125" style="119" customWidth="1"/>
    <col min="4148" max="4148" width="12.5703125" style="119"/>
    <col min="4149" max="4149" width="8.85546875" style="119" customWidth="1"/>
    <col min="4150" max="4151" width="14" style="119" customWidth="1"/>
    <col min="4152" max="4152" width="13.85546875" style="119" customWidth="1"/>
    <col min="4153" max="4153" width="13.140625" style="119" customWidth="1"/>
    <col min="4154" max="4154" width="14.42578125" style="119" customWidth="1"/>
    <col min="4155" max="4155" width="17.5703125" style="119" customWidth="1"/>
    <col min="4156" max="4156" width="17.28515625" style="119" customWidth="1"/>
    <col min="4157" max="4157" width="15.140625" style="119" bestFit="1" customWidth="1"/>
    <col min="4158" max="4158" width="14.140625" style="119" bestFit="1" customWidth="1"/>
    <col min="4159" max="4159" width="13.85546875" style="119" customWidth="1"/>
    <col min="4160" max="4160" width="12.85546875" style="119" bestFit="1" customWidth="1"/>
    <col min="4161" max="4161" width="9.85546875" style="119" customWidth="1"/>
    <col min="4162" max="4162" width="13" style="119" customWidth="1"/>
    <col min="4163" max="4163" width="11.28515625" style="119" customWidth="1"/>
    <col min="4164" max="4164" width="14.7109375" style="119" bestFit="1" customWidth="1"/>
    <col min="4165" max="4167" width="0" style="119" hidden="1" customWidth="1"/>
    <col min="4168" max="4168" width="2" style="119" customWidth="1"/>
    <col min="4169" max="4169" width="9.28515625" style="119" customWidth="1"/>
    <col min="4170" max="4170" width="13.7109375" style="119" customWidth="1"/>
    <col min="4171" max="4171" width="41.42578125" style="119" customWidth="1"/>
    <col min="4172" max="4173" width="12.5703125" style="119"/>
    <col min="4174" max="4174" width="13.85546875" style="119" customWidth="1"/>
    <col min="4175" max="4336" width="12.5703125" style="119"/>
    <col min="4337" max="4337" width="2" style="119" customWidth="1"/>
    <col min="4338" max="4338" width="31.85546875" style="119" customWidth="1"/>
    <col min="4339" max="4339" width="10" style="119" bestFit="1" customWidth="1"/>
    <col min="4340" max="4340" width="8.140625" style="119" customWidth="1"/>
    <col min="4341" max="4341" width="8.42578125" style="119" bestFit="1" customWidth="1"/>
    <col min="4342" max="4342" width="8" style="119" customWidth="1"/>
    <col min="4343" max="4346" width="0" style="119" hidden="1" customWidth="1"/>
    <col min="4347" max="4348" width="7.85546875" style="119" bestFit="1" customWidth="1"/>
    <col min="4349" max="4349" width="8.7109375" style="119" bestFit="1" customWidth="1"/>
    <col min="4350" max="4350" width="7.42578125" style="119" customWidth="1"/>
    <col min="4351" max="4351" width="6.28515625" style="119" customWidth="1"/>
    <col min="4352" max="4389" width="0" style="119" hidden="1" customWidth="1"/>
    <col min="4390" max="4390" width="15.42578125" style="119" bestFit="1" customWidth="1"/>
    <col min="4391" max="4392" width="15.28515625" style="119" customWidth="1"/>
    <col min="4393" max="4393" width="18" style="119" customWidth="1"/>
    <col min="4394" max="4394" width="14" style="119" customWidth="1"/>
    <col min="4395" max="4395" width="13.42578125" style="119" customWidth="1"/>
    <col min="4396" max="4396" width="15" style="119" customWidth="1"/>
    <col min="4397" max="4397" width="15.28515625" style="119" customWidth="1"/>
    <col min="4398" max="4398" width="14" style="119" customWidth="1"/>
    <col min="4399" max="4400" width="12.140625" style="119" customWidth="1"/>
    <col min="4401" max="4401" width="16.140625" style="119" customWidth="1"/>
    <col min="4402" max="4402" width="14.140625" style="119" customWidth="1"/>
    <col min="4403" max="4403" width="14.42578125" style="119" customWidth="1"/>
    <col min="4404" max="4404" width="12.5703125" style="119"/>
    <col min="4405" max="4405" width="8.85546875" style="119" customWidth="1"/>
    <col min="4406" max="4407" width="14" style="119" customWidth="1"/>
    <col min="4408" max="4408" width="13.85546875" style="119" customWidth="1"/>
    <col min="4409" max="4409" width="13.140625" style="119" customWidth="1"/>
    <col min="4410" max="4410" width="14.42578125" style="119" customWidth="1"/>
    <col min="4411" max="4411" width="17.5703125" style="119" customWidth="1"/>
    <col min="4412" max="4412" width="17.28515625" style="119" customWidth="1"/>
    <col min="4413" max="4413" width="15.140625" style="119" bestFit="1" customWidth="1"/>
    <col min="4414" max="4414" width="14.140625" style="119" bestFit="1" customWidth="1"/>
    <col min="4415" max="4415" width="13.85546875" style="119" customWidth="1"/>
    <col min="4416" max="4416" width="12.85546875" style="119" bestFit="1" customWidth="1"/>
    <col min="4417" max="4417" width="9.85546875" style="119" customWidth="1"/>
    <col min="4418" max="4418" width="13" style="119" customWidth="1"/>
    <col min="4419" max="4419" width="11.28515625" style="119" customWidth="1"/>
    <col min="4420" max="4420" width="14.7109375" style="119" bestFit="1" customWidth="1"/>
    <col min="4421" max="4423" width="0" style="119" hidden="1" customWidth="1"/>
    <col min="4424" max="4424" width="2" style="119" customWidth="1"/>
    <col min="4425" max="4425" width="9.28515625" style="119" customWidth="1"/>
    <col min="4426" max="4426" width="13.7109375" style="119" customWidth="1"/>
    <col min="4427" max="4427" width="41.42578125" style="119" customWidth="1"/>
    <col min="4428" max="4429" width="12.5703125" style="119"/>
    <col min="4430" max="4430" width="13.85546875" style="119" customWidth="1"/>
    <col min="4431" max="4592" width="12.5703125" style="119"/>
    <col min="4593" max="4593" width="2" style="119" customWidth="1"/>
    <col min="4594" max="4594" width="31.85546875" style="119" customWidth="1"/>
    <col min="4595" max="4595" width="10" style="119" bestFit="1" customWidth="1"/>
    <col min="4596" max="4596" width="8.140625" style="119" customWidth="1"/>
    <col min="4597" max="4597" width="8.42578125" style="119" bestFit="1" customWidth="1"/>
    <col min="4598" max="4598" width="8" style="119" customWidth="1"/>
    <col min="4599" max="4602" width="0" style="119" hidden="1" customWidth="1"/>
    <col min="4603" max="4604" width="7.85546875" style="119" bestFit="1" customWidth="1"/>
    <col min="4605" max="4605" width="8.7109375" style="119" bestFit="1" customWidth="1"/>
    <col min="4606" max="4606" width="7.42578125" style="119" customWidth="1"/>
    <col min="4607" max="4607" width="6.28515625" style="119" customWidth="1"/>
    <col min="4608" max="4645" width="0" style="119" hidden="1" customWidth="1"/>
    <col min="4646" max="4646" width="15.42578125" style="119" bestFit="1" customWidth="1"/>
    <col min="4647" max="4648" width="15.28515625" style="119" customWidth="1"/>
    <col min="4649" max="4649" width="18" style="119" customWidth="1"/>
    <col min="4650" max="4650" width="14" style="119" customWidth="1"/>
    <col min="4651" max="4651" width="13.42578125" style="119" customWidth="1"/>
    <col min="4652" max="4652" width="15" style="119" customWidth="1"/>
    <col min="4653" max="4653" width="15.28515625" style="119" customWidth="1"/>
    <col min="4654" max="4654" width="14" style="119" customWidth="1"/>
    <col min="4655" max="4656" width="12.140625" style="119" customWidth="1"/>
    <col min="4657" max="4657" width="16.140625" style="119" customWidth="1"/>
    <col min="4658" max="4658" width="14.140625" style="119" customWidth="1"/>
    <col min="4659" max="4659" width="14.42578125" style="119" customWidth="1"/>
    <col min="4660" max="4660" width="12.5703125" style="119"/>
    <col min="4661" max="4661" width="8.85546875" style="119" customWidth="1"/>
    <col min="4662" max="4663" width="14" style="119" customWidth="1"/>
    <col min="4664" max="4664" width="13.85546875" style="119" customWidth="1"/>
    <col min="4665" max="4665" width="13.140625" style="119" customWidth="1"/>
    <col min="4666" max="4666" width="14.42578125" style="119" customWidth="1"/>
    <col min="4667" max="4667" width="17.5703125" style="119" customWidth="1"/>
    <col min="4668" max="4668" width="17.28515625" style="119" customWidth="1"/>
    <col min="4669" max="4669" width="15.140625" style="119" bestFit="1" customWidth="1"/>
    <col min="4670" max="4670" width="14.140625" style="119" bestFit="1" customWidth="1"/>
    <col min="4671" max="4671" width="13.85546875" style="119" customWidth="1"/>
    <col min="4672" max="4672" width="12.85546875" style="119" bestFit="1" customWidth="1"/>
    <col min="4673" max="4673" width="9.85546875" style="119" customWidth="1"/>
    <col min="4674" max="4674" width="13" style="119" customWidth="1"/>
    <col min="4675" max="4675" width="11.28515625" style="119" customWidth="1"/>
    <col min="4676" max="4676" width="14.7109375" style="119" bestFit="1" customWidth="1"/>
    <col min="4677" max="4679" width="0" style="119" hidden="1" customWidth="1"/>
    <col min="4680" max="4680" width="2" style="119" customWidth="1"/>
    <col min="4681" max="4681" width="9.28515625" style="119" customWidth="1"/>
    <col min="4682" max="4682" width="13.7109375" style="119" customWidth="1"/>
    <col min="4683" max="4683" width="41.42578125" style="119" customWidth="1"/>
    <col min="4684" max="4685" width="12.5703125" style="119"/>
    <col min="4686" max="4686" width="13.85546875" style="119" customWidth="1"/>
    <col min="4687" max="4848" width="12.5703125" style="119"/>
    <col min="4849" max="4849" width="2" style="119" customWidth="1"/>
    <col min="4850" max="4850" width="31.85546875" style="119" customWidth="1"/>
    <col min="4851" max="4851" width="10" style="119" bestFit="1" customWidth="1"/>
    <col min="4852" max="4852" width="8.140625" style="119" customWidth="1"/>
    <col min="4853" max="4853" width="8.42578125" style="119" bestFit="1" customWidth="1"/>
    <col min="4854" max="4854" width="8" style="119" customWidth="1"/>
    <col min="4855" max="4858" width="0" style="119" hidden="1" customWidth="1"/>
    <col min="4859" max="4860" width="7.85546875" style="119" bestFit="1" customWidth="1"/>
    <col min="4861" max="4861" width="8.7109375" style="119" bestFit="1" customWidth="1"/>
    <col min="4862" max="4862" width="7.42578125" style="119" customWidth="1"/>
    <col min="4863" max="4863" width="6.28515625" style="119" customWidth="1"/>
    <col min="4864" max="4901" width="0" style="119" hidden="1" customWidth="1"/>
    <col min="4902" max="4902" width="15.42578125" style="119" bestFit="1" customWidth="1"/>
    <col min="4903" max="4904" width="15.28515625" style="119" customWidth="1"/>
    <col min="4905" max="4905" width="18" style="119" customWidth="1"/>
    <col min="4906" max="4906" width="14" style="119" customWidth="1"/>
    <col min="4907" max="4907" width="13.42578125" style="119" customWidth="1"/>
    <col min="4908" max="4908" width="15" style="119" customWidth="1"/>
    <col min="4909" max="4909" width="15.28515625" style="119" customWidth="1"/>
    <col min="4910" max="4910" width="14" style="119" customWidth="1"/>
    <col min="4911" max="4912" width="12.140625" style="119" customWidth="1"/>
    <col min="4913" max="4913" width="16.140625" style="119" customWidth="1"/>
    <col min="4914" max="4914" width="14.140625" style="119" customWidth="1"/>
    <col min="4915" max="4915" width="14.42578125" style="119" customWidth="1"/>
    <col min="4916" max="4916" width="12.5703125" style="119"/>
    <col min="4917" max="4917" width="8.85546875" style="119" customWidth="1"/>
    <col min="4918" max="4919" width="14" style="119" customWidth="1"/>
    <col min="4920" max="4920" width="13.85546875" style="119" customWidth="1"/>
    <col min="4921" max="4921" width="13.140625" style="119" customWidth="1"/>
    <col min="4922" max="4922" width="14.42578125" style="119" customWidth="1"/>
    <col min="4923" max="4923" width="17.5703125" style="119" customWidth="1"/>
    <col min="4924" max="4924" width="17.28515625" style="119" customWidth="1"/>
    <col min="4925" max="4925" width="15.140625" style="119" bestFit="1" customWidth="1"/>
    <col min="4926" max="4926" width="14.140625" style="119" bestFit="1" customWidth="1"/>
    <col min="4927" max="4927" width="13.85546875" style="119" customWidth="1"/>
    <col min="4928" max="4928" width="12.85546875" style="119" bestFit="1" customWidth="1"/>
    <col min="4929" max="4929" width="9.85546875" style="119" customWidth="1"/>
    <col min="4930" max="4930" width="13" style="119" customWidth="1"/>
    <col min="4931" max="4931" width="11.28515625" style="119" customWidth="1"/>
    <col min="4932" max="4932" width="14.7109375" style="119" bestFit="1" customWidth="1"/>
    <col min="4933" max="4935" width="0" style="119" hidden="1" customWidth="1"/>
    <col min="4936" max="4936" width="2" style="119" customWidth="1"/>
    <col min="4937" max="4937" width="9.28515625" style="119" customWidth="1"/>
    <col min="4938" max="4938" width="13.7109375" style="119" customWidth="1"/>
    <col min="4939" max="4939" width="41.42578125" style="119" customWidth="1"/>
    <col min="4940" max="4941" width="12.5703125" style="119"/>
    <col min="4942" max="4942" width="13.85546875" style="119" customWidth="1"/>
    <col min="4943" max="5104" width="12.5703125" style="119"/>
    <col min="5105" max="5105" width="2" style="119" customWidth="1"/>
    <col min="5106" max="5106" width="31.85546875" style="119" customWidth="1"/>
    <col min="5107" max="5107" width="10" style="119" bestFit="1" customWidth="1"/>
    <col min="5108" max="5108" width="8.140625" style="119" customWidth="1"/>
    <col min="5109" max="5109" width="8.42578125" style="119" bestFit="1" customWidth="1"/>
    <col min="5110" max="5110" width="8" style="119" customWidth="1"/>
    <col min="5111" max="5114" width="0" style="119" hidden="1" customWidth="1"/>
    <col min="5115" max="5116" width="7.85546875" style="119" bestFit="1" customWidth="1"/>
    <col min="5117" max="5117" width="8.7109375" style="119" bestFit="1" customWidth="1"/>
    <col min="5118" max="5118" width="7.42578125" style="119" customWidth="1"/>
    <col min="5119" max="5119" width="6.28515625" style="119" customWidth="1"/>
    <col min="5120" max="5157" width="0" style="119" hidden="1" customWidth="1"/>
    <col min="5158" max="5158" width="15.42578125" style="119" bestFit="1" customWidth="1"/>
    <col min="5159" max="5160" width="15.28515625" style="119" customWidth="1"/>
    <col min="5161" max="5161" width="18" style="119" customWidth="1"/>
    <col min="5162" max="5162" width="14" style="119" customWidth="1"/>
    <col min="5163" max="5163" width="13.42578125" style="119" customWidth="1"/>
    <col min="5164" max="5164" width="15" style="119" customWidth="1"/>
    <col min="5165" max="5165" width="15.28515625" style="119" customWidth="1"/>
    <col min="5166" max="5166" width="14" style="119" customWidth="1"/>
    <col min="5167" max="5168" width="12.140625" style="119" customWidth="1"/>
    <col min="5169" max="5169" width="16.140625" style="119" customWidth="1"/>
    <col min="5170" max="5170" width="14.140625" style="119" customWidth="1"/>
    <col min="5171" max="5171" width="14.42578125" style="119" customWidth="1"/>
    <col min="5172" max="5172" width="12.5703125" style="119"/>
    <col min="5173" max="5173" width="8.85546875" style="119" customWidth="1"/>
    <col min="5174" max="5175" width="14" style="119" customWidth="1"/>
    <col min="5176" max="5176" width="13.85546875" style="119" customWidth="1"/>
    <col min="5177" max="5177" width="13.140625" style="119" customWidth="1"/>
    <col min="5178" max="5178" width="14.42578125" style="119" customWidth="1"/>
    <col min="5179" max="5179" width="17.5703125" style="119" customWidth="1"/>
    <col min="5180" max="5180" width="17.28515625" style="119" customWidth="1"/>
    <col min="5181" max="5181" width="15.140625" style="119" bestFit="1" customWidth="1"/>
    <col min="5182" max="5182" width="14.140625" style="119" bestFit="1" customWidth="1"/>
    <col min="5183" max="5183" width="13.85546875" style="119" customWidth="1"/>
    <col min="5184" max="5184" width="12.85546875" style="119" bestFit="1" customWidth="1"/>
    <col min="5185" max="5185" width="9.85546875" style="119" customWidth="1"/>
    <col min="5186" max="5186" width="13" style="119" customWidth="1"/>
    <col min="5187" max="5187" width="11.28515625" style="119" customWidth="1"/>
    <col min="5188" max="5188" width="14.7109375" style="119" bestFit="1" customWidth="1"/>
    <col min="5189" max="5191" width="0" style="119" hidden="1" customWidth="1"/>
    <col min="5192" max="5192" width="2" style="119" customWidth="1"/>
    <col min="5193" max="5193" width="9.28515625" style="119" customWidth="1"/>
    <col min="5194" max="5194" width="13.7109375" style="119" customWidth="1"/>
    <col min="5195" max="5195" width="41.42578125" style="119" customWidth="1"/>
    <col min="5196" max="5197" width="12.5703125" style="119"/>
    <col min="5198" max="5198" width="13.85546875" style="119" customWidth="1"/>
    <col min="5199" max="5360" width="12.5703125" style="119"/>
    <col min="5361" max="5361" width="2" style="119" customWidth="1"/>
    <col min="5362" max="5362" width="31.85546875" style="119" customWidth="1"/>
    <col min="5363" max="5363" width="10" style="119" bestFit="1" customWidth="1"/>
    <col min="5364" max="5364" width="8.140625" style="119" customWidth="1"/>
    <col min="5365" max="5365" width="8.42578125" style="119" bestFit="1" customWidth="1"/>
    <col min="5366" max="5366" width="8" style="119" customWidth="1"/>
    <col min="5367" max="5370" width="0" style="119" hidden="1" customWidth="1"/>
    <col min="5371" max="5372" width="7.85546875" style="119" bestFit="1" customWidth="1"/>
    <col min="5373" max="5373" width="8.7109375" style="119" bestFit="1" customWidth="1"/>
    <col min="5374" max="5374" width="7.42578125" style="119" customWidth="1"/>
    <col min="5375" max="5375" width="6.28515625" style="119" customWidth="1"/>
    <col min="5376" max="5413" width="0" style="119" hidden="1" customWidth="1"/>
    <col min="5414" max="5414" width="15.42578125" style="119" bestFit="1" customWidth="1"/>
    <col min="5415" max="5416" width="15.28515625" style="119" customWidth="1"/>
    <col min="5417" max="5417" width="18" style="119" customWidth="1"/>
    <col min="5418" max="5418" width="14" style="119" customWidth="1"/>
    <col min="5419" max="5419" width="13.42578125" style="119" customWidth="1"/>
    <col min="5420" max="5420" width="15" style="119" customWidth="1"/>
    <col min="5421" max="5421" width="15.28515625" style="119" customWidth="1"/>
    <col min="5422" max="5422" width="14" style="119" customWidth="1"/>
    <col min="5423" max="5424" width="12.140625" style="119" customWidth="1"/>
    <col min="5425" max="5425" width="16.140625" style="119" customWidth="1"/>
    <col min="5426" max="5426" width="14.140625" style="119" customWidth="1"/>
    <col min="5427" max="5427" width="14.42578125" style="119" customWidth="1"/>
    <col min="5428" max="5428" width="12.5703125" style="119"/>
    <col min="5429" max="5429" width="8.85546875" style="119" customWidth="1"/>
    <col min="5430" max="5431" width="14" style="119" customWidth="1"/>
    <col min="5432" max="5432" width="13.85546875" style="119" customWidth="1"/>
    <col min="5433" max="5433" width="13.140625" style="119" customWidth="1"/>
    <col min="5434" max="5434" width="14.42578125" style="119" customWidth="1"/>
    <col min="5435" max="5435" width="17.5703125" style="119" customWidth="1"/>
    <col min="5436" max="5436" width="17.28515625" style="119" customWidth="1"/>
    <col min="5437" max="5437" width="15.140625" style="119" bestFit="1" customWidth="1"/>
    <col min="5438" max="5438" width="14.140625" style="119" bestFit="1" customWidth="1"/>
    <col min="5439" max="5439" width="13.85546875" style="119" customWidth="1"/>
    <col min="5440" max="5440" width="12.85546875" style="119" bestFit="1" customWidth="1"/>
    <col min="5441" max="5441" width="9.85546875" style="119" customWidth="1"/>
    <col min="5442" max="5442" width="13" style="119" customWidth="1"/>
    <col min="5443" max="5443" width="11.28515625" style="119" customWidth="1"/>
    <col min="5444" max="5444" width="14.7109375" style="119" bestFit="1" customWidth="1"/>
    <col min="5445" max="5447" width="0" style="119" hidden="1" customWidth="1"/>
    <col min="5448" max="5448" width="2" style="119" customWidth="1"/>
    <col min="5449" max="5449" width="9.28515625" style="119" customWidth="1"/>
    <col min="5450" max="5450" width="13.7109375" style="119" customWidth="1"/>
    <col min="5451" max="5451" width="41.42578125" style="119" customWidth="1"/>
    <col min="5452" max="5453" width="12.5703125" style="119"/>
    <col min="5454" max="5454" width="13.85546875" style="119" customWidth="1"/>
    <col min="5455" max="5616" width="12.5703125" style="119"/>
    <col min="5617" max="5617" width="2" style="119" customWidth="1"/>
    <col min="5618" max="5618" width="31.85546875" style="119" customWidth="1"/>
    <col min="5619" max="5619" width="10" style="119" bestFit="1" customWidth="1"/>
    <col min="5620" max="5620" width="8.140625" style="119" customWidth="1"/>
    <col min="5621" max="5621" width="8.42578125" style="119" bestFit="1" customWidth="1"/>
    <col min="5622" max="5622" width="8" style="119" customWidth="1"/>
    <col min="5623" max="5626" width="0" style="119" hidden="1" customWidth="1"/>
    <col min="5627" max="5628" width="7.85546875" style="119" bestFit="1" customWidth="1"/>
    <col min="5629" max="5629" width="8.7109375" style="119" bestFit="1" customWidth="1"/>
    <col min="5630" max="5630" width="7.42578125" style="119" customWidth="1"/>
    <col min="5631" max="5631" width="6.28515625" style="119" customWidth="1"/>
    <col min="5632" max="5669" width="0" style="119" hidden="1" customWidth="1"/>
    <col min="5670" max="5670" width="15.42578125" style="119" bestFit="1" customWidth="1"/>
    <col min="5671" max="5672" width="15.28515625" style="119" customWidth="1"/>
    <col min="5673" max="5673" width="18" style="119" customWidth="1"/>
    <col min="5674" max="5674" width="14" style="119" customWidth="1"/>
    <col min="5675" max="5675" width="13.42578125" style="119" customWidth="1"/>
    <col min="5676" max="5676" width="15" style="119" customWidth="1"/>
    <col min="5677" max="5677" width="15.28515625" style="119" customWidth="1"/>
    <col min="5678" max="5678" width="14" style="119" customWidth="1"/>
    <col min="5679" max="5680" width="12.140625" style="119" customWidth="1"/>
    <col min="5681" max="5681" width="16.140625" style="119" customWidth="1"/>
    <col min="5682" max="5682" width="14.140625" style="119" customWidth="1"/>
    <col min="5683" max="5683" width="14.42578125" style="119" customWidth="1"/>
    <col min="5684" max="5684" width="12.5703125" style="119"/>
    <col min="5685" max="5685" width="8.85546875" style="119" customWidth="1"/>
    <col min="5686" max="5687" width="14" style="119" customWidth="1"/>
    <col min="5688" max="5688" width="13.85546875" style="119" customWidth="1"/>
    <col min="5689" max="5689" width="13.140625" style="119" customWidth="1"/>
    <col min="5690" max="5690" width="14.42578125" style="119" customWidth="1"/>
    <col min="5691" max="5691" width="17.5703125" style="119" customWidth="1"/>
    <col min="5692" max="5692" width="17.28515625" style="119" customWidth="1"/>
    <col min="5693" max="5693" width="15.140625" style="119" bestFit="1" customWidth="1"/>
    <col min="5694" max="5694" width="14.140625" style="119" bestFit="1" customWidth="1"/>
    <col min="5695" max="5695" width="13.85546875" style="119" customWidth="1"/>
    <col min="5696" max="5696" width="12.85546875" style="119" bestFit="1" customWidth="1"/>
    <col min="5697" max="5697" width="9.85546875" style="119" customWidth="1"/>
    <col min="5698" max="5698" width="13" style="119" customWidth="1"/>
    <col min="5699" max="5699" width="11.28515625" style="119" customWidth="1"/>
    <col min="5700" max="5700" width="14.7109375" style="119" bestFit="1" customWidth="1"/>
    <col min="5701" max="5703" width="0" style="119" hidden="1" customWidth="1"/>
    <col min="5704" max="5704" width="2" style="119" customWidth="1"/>
    <col min="5705" max="5705" width="9.28515625" style="119" customWidth="1"/>
    <col min="5706" max="5706" width="13.7109375" style="119" customWidth="1"/>
    <col min="5707" max="5707" width="41.42578125" style="119" customWidth="1"/>
    <col min="5708" max="5709" width="12.5703125" style="119"/>
    <col min="5710" max="5710" width="13.85546875" style="119" customWidth="1"/>
    <col min="5711" max="5872" width="12.5703125" style="119"/>
    <col min="5873" max="5873" width="2" style="119" customWidth="1"/>
    <col min="5874" max="5874" width="31.85546875" style="119" customWidth="1"/>
    <col min="5875" max="5875" width="10" style="119" bestFit="1" customWidth="1"/>
    <col min="5876" max="5876" width="8.140625" style="119" customWidth="1"/>
    <col min="5877" max="5877" width="8.42578125" style="119" bestFit="1" customWidth="1"/>
    <col min="5878" max="5878" width="8" style="119" customWidth="1"/>
    <col min="5879" max="5882" width="0" style="119" hidden="1" customWidth="1"/>
    <col min="5883" max="5884" width="7.85546875" style="119" bestFit="1" customWidth="1"/>
    <col min="5885" max="5885" width="8.7109375" style="119" bestFit="1" customWidth="1"/>
    <col min="5886" max="5886" width="7.42578125" style="119" customWidth="1"/>
    <col min="5887" max="5887" width="6.28515625" style="119" customWidth="1"/>
    <col min="5888" max="5925" width="0" style="119" hidden="1" customWidth="1"/>
    <col min="5926" max="5926" width="15.42578125" style="119" bestFit="1" customWidth="1"/>
    <col min="5927" max="5928" width="15.28515625" style="119" customWidth="1"/>
    <col min="5929" max="5929" width="18" style="119" customWidth="1"/>
    <col min="5930" max="5930" width="14" style="119" customWidth="1"/>
    <col min="5931" max="5931" width="13.42578125" style="119" customWidth="1"/>
    <col min="5932" max="5932" width="15" style="119" customWidth="1"/>
    <col min="5933" max="5933" width="15.28515625" style="119" customWidth="1"/>
    <col min="5934" max="5934" width="14" style="119" customWidth="1"/>
    <col min="5935" max="5936" width="12.140625" style="119" customWidth="1"/>
    <col min="5937" max="5937" width="16.140625" style="119" customWidth="1"/>
    <col min="5938" max="5938" width="14.140625" style="119" customWidth="1"/>
    <col min="5939" max="5939" width="14.42578125" style="119" customWidth="1"/>
    <col min="5940" max="5940" width="12.5703125" style="119"/>
    <col min="5941" max="5941" width="8.85546875" style="119" customWidth="1"/>
    <col min="5942" max="5943" width="14" style="119" customWidth="1"/>
    <col min="5944" max="5944" width="13.85546875" style="119" customWidth="1"/>
    <col min="5945" max="5945" width="13.140625" style="119" customWidth="1"/>
    <col min="5946" max="5946" width="14.42578125" style="119" customWidth="1"/>
    <col min="5947" max="5947" width="17.5703125" style="119" customWidth="1"/>
    <col min="5948" max="5948" width="17.28515625" style="119" customWidth="1"/>
    <col min="5949" max="5949" width="15.140625" style="119" bestFit="1" customWidth="1"/>
    <col min="5950" max="5950" width="14.140625" style="119" bestFit="1" customWidth="1"/>
    <col min="5951" max="5951" width="13.85546875" style="119" customWidth="1"/>
    <col min="5952" max="5952" width="12.85546875" style="119" bestFit="1" customWidth="1"/>
    <col min="5953" max="5953" width="9.85546875" style="119" customWidth="1"/>
    <col min="5954" max="5954" width="13" style="119" customWidth="1"/>
    <col min="5955" max="5955" width="11.28515625" style="119" customWidth="1"/>
    <col min="5956" max="5956" width="14.7109375" style="119" bestFit="1" customWidth="1"/>
    <col min="5957" max="5959" width="0" style="119" hidden="1" customWidth="1"/>
    <col min="5960" max="5960" width="2" style="119" customWidth="1"/>
    <col min="5961" max="5961" width="9.28515625" style="119" customWidth="1"/>
    <col min="5962" max="5962" width="13.7109375" style="119" customWidth="1"/>
    <col min="5963" max="5963" width="41.42578125" style="119" customWidth="1"/>
    <col min="5964" max="5965" width="12.5703125" style="119"/>
    <col min="5966" max="5966" width="13.85546875" style="119" customWidth="1"/>
    <col min="5967" max="6128" width="12.5703125" style="119"/>
    <col min="6129" max="6129" width="2" style="119" customWidth="1"/>
    <col min="6130" max="6130" width="31.85546875" style="119" customWidth="1"/>
    <col min="6131" max="6131" width="10" style="119" bestFit="1" customWidth="1"/>
    <col min="6132" max="6132" width="8.140625" style="119" customWidth="1"/>
    <col min="6133" max="6133" width="8.42578125" style="119" bestFit="1" customWidth="1"/>
    <col min="6134" max="6134" width="8" style="119" customWidth="1"/>
    <col min="6135" max="6138" width="0" style="119" hidden="1" customWidth="1"/>
    <col min="6139" max="6140" width="7.85546875" style="119" bestFit="1" customWidth="1"/>
    <col min="6141" max="6141" width="8.7109375" style="119" bestFit="1" customWidth="1"/>
    <col min="6142" max="6142" width="7.42578125" style="119" customWidth="1"/>
    <col min="6143" max="6143" width="6.28515625" style="119" customWidth="1"/>
    <col min="6144" max="6181" width="0" style="119" hidden="1" customWidth="1"/>
    <col min="6182" max="6182" width="15.42578125" style="119" bestFit="1" customWidth="1"/>
    <col min="6183" max="6184" width="15.28515625" style="119" customWidth="1"/>
    <col min="6185" max="6185" width="18" style="119" customWidth="1"/>
    <col min="6186" max="6186" width="14" style="119" customWidth="1"/>
    <col min="6187" max="6187" width="13.42578125" style="119" customWidth="1"/>
    <col min="6188" max="6188" width="15" style="119" customWidth="1"/>
    <col min="6189" max="6189" width="15.28515625" style="119" customWidth="1"/>
    <col min="6190" max="6190" width="14" style="119" customWidth="1"/>
    <col min="6191" max="6192" width="12.140625" style="119" customWidth="1"/>
    <col min="6193" max="6193" width="16.140625" style="119" customWidth="1"/>
    <col min="6194" max="6194" width="14.140625" style="119" customWidth="1"/>
    <col min="6195" max="6195" width="14.42578125" style="119" customWidth="1"/>
    <col min="6196" max="6196" width="12.5703125" style="119"/>
    <col min="6197" max="6197" width="8.85546875" style="119" customWidth="1"/>
    <col min="6198" max="6199" width="14" style="119" customWidth="1"/>
    <col min="6200" max="6200" width="13.85546875" style="119" customWidth="1"/>
    <col min="6201" max="6201" width="13.140625" style="119" customWidth="1"/>
    <col min="6202" max="6202" width="14.42578125" style="119" customWidth="1"/>
    <col min="6203" max="6203" width="17.5703125" style="119" customWidth="1"/>
    <col min="6204" max="6204" width="17.28515625" style="119" customWidth="1"/>
    <col min="6205" max="6205" width="15.140625" style="119" bestFit="1" customWidth="1"/>
    <col min="6206" max="6206" width="14.140625" style="119" bestFit="1" customWidth="1"/>
    <col min="6207" max="6207" width="13.85546875" style="119" customWidth="1"/>
    <col min="6208" max="6208" width="12.85546875" style="119" bestFit="1" customWidth="1"/>
    <col min="6209" max="6209" width="9.85546875" style="119" customWidth="1"/>
    <col min="6210" max="6210" width="13" style="119" customWidth="1"/>
    <col min="6211" max="6211" width="11.28515625" style="119" customWidth="1"/>
    <col min="6212" max="6212" width="14.7109375" style="119" bestFit="1" customWidth="1"/>
    <col min="6213" max="6215" width="0" style="119" hidden="1" customWidth="1"/>
    <col min="6216" max="6216" width="2" style="119" customWidth="1"/>
    <col min="6217" max="6217" width="9.28515625" style="119" customWidth="1"/>
    <col min="6218" max="6218" width="13.7109375" style="119" customWidth="1"/>
    <col min="6219" max="6219" width="41.42578125" style="119" customWidth="1"/>
    <col min="6220" max="6221" width="12.5703125" style="119"/>
    <col min="6222" max="6222" width="13.85546875" style="119" customWidth="1"/>
    <col min="6223" max="6384" width="12.5703125" style="119"/>
    <col min="6385" max="6385" width="2" style="119" customWidth="1"/>
    <col min="6386" max="6386" width="31.85546875" style="119" customWidth="1"/>
    <col min="6387" max="6387" width="10" style="119" bestFit="1" customWidth="1"/>
    <col min="6388" max="6388" width="8.140625" style="119" customWidth="1"/>
    <col min="6389" max="6389" width="8.42578125" style="119" bestFit="1" customWidth="1"/>
    <col min="6390" max="6390" width="8" style="119" customWidth="1"/>
    <col min="6391" max="6394" width="0" style="119" hidden="1" customWidth="1"/>
    <col min="6395" max="6396" width="7.85546875" style="119" bestFit="1" customWidth="1"/>
    <col min="6397" max="6397" width="8.7109375" style="119" bestFit="1" customWidth="1"/>
    <col min="6398" max="6398" width="7.42578125" style="119" customWidth="1"/>
    <col min="6399" max="6399" width="6.28515625" style="119" customWidth="1"/>
    <col min="6400" max="6437" width="0" style="119" hidden="1" customWidth="1"/>
    <col min="6438" max="6438" width="15.42578125" style="119" bestFit="1" customWidth="1"/>
    <col min="6439" max="6440" width="15.28515625" style="119" customWidth="1"/>
    <col min="6441" max="6441" width="18" style="119" customWidth="1"/>
    <col min="6442" max="6442" width="14" style="119" customWidth="1"/>
    <col min="6443" max="6443" width="13.42578125" style="119" customWidth="1"/>
    <col min="6444" max="6444" width="15" style="119" customWidth="1"/>
    <col min="6445" max="6445" width="15.28515625" style="119" customWidth="1"/>
    <col min="6446" max="6446" width="14" style="119" customWidth="1"/>
    <col min="6447" max="6448" width="12.140625" style="119" customWidth="1"/>
    <col min="6449" max="6449" width="16.140625" style="119" customWidth="1"/>
    <col min="6450" max="6450" width="14.140625" style="119" customWidth="1"/>
    <col min="6451" max="6451" width="14.42578125" style="119" customWidth="1"/>
    <col min="6452" max="6452" width="12.5703125" style="119"/>
    <col min="6453" max="6453" width="8.85546875" style="119" customWidth="1"/>
    <col min="6454" max="6455" width="14" style="119" customWidth="1"/>
    <col min="6456" max="6456" width="13.85546875" style="119" customWidth="1"/>
    <col min="6457" max="6457" width="13.140625" style="119" customWidth="1"/>
    <col min="6458" max="6458" width="14.42578125" style="119" customWidth="1"/>
    <col min="6459" max="6459" width="17.5703125" style="119" customWidth="1"/>
    <col min="6460" max="6460" width="17.28515625" style="119" customWidth="1"/>
    <col min="6461" max="6461" width="15.140625" style="119" bestFit="1" customWidth="1"/>
    <col min="6462" max="6462" width="14.140625" style="119" bestFit="1" customWidth="1"/>
    <col min="6463" max="6463" width="13.85546875" style="119" customWidth="1"/>
    <col min="6464" max="6464" width="12.85546875" style="119" bestFit="1" customWidth="1"/>
    <col min="6465" max="6465" width="9.85546875" style="119" customWidth="1"/>
    <col min="6466" max="6466" width="13" style="119" customWidth="1"/>
    <col min="6467" max="6467" width="11.28515625" style="119" customWidth="1"/>
    <col min="6468" max="6468" width="14.7109375" style="119" bestFit="1" customWidth="1"/>
    <col min="6469" max="6471" width="0" style="119" hidden="1" customWidth="1"/>
    <col min="6472" max="6472" width="2" style="119" customWidth="1"/>
    <col min="6473" max="6473" width="9.28515625" style="119" customWidth="1"/>
    <col min="6474" max="6474" width="13.7109375" style="119" customWidth="1"/>
    <col min="6475" max="6475" width="41.42578125" style="119" customWidth="1"/>
    <col min="6476" max="6477" width="12.5703125" style="119"/>
    <col min="6478" max="6478" width="13.85546875" style="119" customWidth="1"/>
    <col min="6479" max="6640" width="12.5703125" style="119"/>
    <col min="6641" max="6641" width="2" style="119" customWidth="1"/>
    <col min="6642" max="6642" width="31.85546875" style="119" customWidth="1"/>
    <col min="6643" max="6643" width="10" style="119" bestFit="1" customWidth="1"/>
    <col min="6644" max="6644" width="8.140625" style="119" customWidth="1"/>
    <col min="6645" max="6645" width="8.42578125" style="119" bestFit="1" customWidth="1"/>
    <col min="6646" max="6646" width="8" style="119" customWidth="1"/>
    <col min="6647" max="6650" width="0" style="119" hidden="1" customWidth="1"/>
    <col min="6651" max="6652" width="7.85546875" style="119" bestFit="1" customWidth="1"/>
    <col min="6653" max="6653" width="8.7109375" style="119" bestFit="1" customWidth="1"/>
    <col min="6654" max="6654" width="7.42578125" style="119" customWidth="1"/>
    <col min="6655" max="6655" width="6.28515625" style="119" customWidth="1"/>
    <col min="6656" max="6693" width="0" style="119" hidden="1" customWidth="1"/>
    <col min="6694" max="6694" width="15.42578125" style="119" bestFit="1" customWidth="1"/>
    <col min="6695" max="6696" width="15.28515625" style="119" customWidth="1"/>
    <col min="6697" max="6697" width="18" style="119" customWidth="1"/>
    <col min="6698" max="6698" width="14" style="119" customWidth="1"/>
    <col min="6699" max="6699" width="13.42578125" style="119" customWidth="1"/>
    <col min="6700" max="6700" width="15" style="119" customWidth="1"/>
    <col min="6701" max="6701" width="15.28515625" style="119" customWidth="1"/>
    <col min="6702" max="6702" width="14" style="119" customWidth="1"/>
    <col min="6703" max="6704" width="12.140625" style="119" customWidth="1"/>
    <col min="6705" max="6705" width="16.140625" style="119" customWidth="1"/>
    <col min="6706" max="6706" width="14.140625" style="119" customWidth="1"/>
    <col min="6707" max="6707" width="14.42578125" style="119" customWidth="1"/>
    <col min="6708" max="6708" width="12.5703125" style="119"/>
    <col min="6709" max="6709" width="8.85546875" style="119" customWidth="1"/>
    <col min="6710" max="6711" width="14" style="119" customWidth="1"/>
    <col min="6712" max="6712" width="13.85546875" style="119" customWidth="1"/>
    <col min="6713" max="6713" width="13.140625" style="119" customWidth="1"/>
    <col min="6714" max="6714" width="14.42578125" style="119" customWidth="1"/>
    <col min="6715" max="6715" width="17.5703125" style="119" customWidth="1"/>
    <col min="6716" max="6716" width="17.28515625" style="119" customWidth="1"/>
    <col min="6717" max="6717" width="15.140625" style="119" bestFit="1" customWidth="1"/>
    <col min="6718" max="6718" width="14.140625" style="119" bestFit="1" customWidth="1"/>
    <col min="6719" max="6719" width="13.85546875" style="119" customWidth="1"/>
    <col min="6720" max="6720" width="12.85546875" style="119" bestFit="1" customWidth="1"/>
    <col min="6721" max="6721" width="9.85546875" style="119" customWidth="1"/>
    <col min="6722" max="6722" width="13" style="119" customWidth="1"/>
    <col min="6723" max="6723" width="11.28515625" style="119" customWidth="1"/>
    <col min="6724" max="6724" width="14.7109375" style="119" bestFit="1" customWidth="1"/>
    <col min="6725" max="6727" width="0" style="119" hidden="1" customWidth="1"/>
    <col min="6728" max="6728" width="2" style="119" customWidth="1"/>
    <col min="6729" max="6729" width="9.28515625" style="119" customWidth="1"/>
    <col min="6730" max="6730" width="13.7109375" style="119" customWidth="1"/>
    <col min="6731" max="6731" width="41.42578125" style="119" customWidth="1"/>
    <col min="6732" max="6733" width="12.5703125" style="119"/>
    <col min="6734" max="6734" width="13.85546875" style="119" customWidth="1"/>
    <col min="6735" max="6896" width="12.5703125" style="119"/>
    <col min="6897" max="6897" width="2" style="119" customWidth="1"/>
    <col min="6898" max="6898" width="31.85546875" style="119" customWidth="1"/>
    <col min="6899" max="6899" width="10" style="119" bestFit="1" customWidth="1"/>
    <col min="6900" max="6900" width="8.140625" style="119" customWidth="1"/>
    <col min="6901" max="6901" width="8.42578125" style="119" bestFit="1" customWidth="1"/>
    <col min="6902" max="6902" width="8" style="119" customWidth="1"/>
    <col min="6903" max="6906" width="0" style="119" hidden="1" customWidth="1"/>
    <col min="6907" max="6908" width="7.85546875" style="119" bestFit="1" customWidth="1"/>
    <col min="6909" max="6909" width="8.7109375" style="119" bestFit="1" customWidth="1"/>
    <col min="6910" max="6910" width="7.42578125" style="119" customWidth="1"/>
    <col min="6911" max="6911" width="6.28515625" style="119" customWidth="1"/>
    <col min="6912" max="6949" width="0" style="119" hidden="1" customWidth="1"/>
    <col min="6950" max="6950" width="15.42578125" style="119" bestFit="1" customWidth="1"/>
    <col min="6951" max="6952" width="15.28515625" style="119" customWidth="1"/>
    <col min="6953" max="6953" width="18" style="119" customWidth="1"/>
    <col min="6954" max="6954" width="14" style="119" customWidth="1"/>
    <col min="6955" max="6955" width="13.42578125" style="119" customWidth="1"/>
    <col min="6956" max="6956" width="15" style="119" customWidth="1"/>
    <col min="6957" max="6957" width="15.28515625" style="119" customWidth="1"/>
    <col min="6958" max="6958" width="14" style="119" customWidth="1"/>
    <col min="6959" max="6960" width="12.140625" style="119" customWidth="1"/>
    <col min="6961" max="6961" width="16.140625" style="119" customWidth="1"/>
    <col min="6962" max="6962" width="14.140625" style="119" customWidth="1"/>
    <col min="6963" max="6963" width="14.42578125" style="119" customWidth="1"/>
    <col min="6964" max="6964" width="12.5703125" style="119"/>
    <col min="6965" max="6965" width="8.85546875" style="119" customWidth="1"/>
    <col min="6966" max="6967" width="14" style="119" customWidth="1"/>
    <col min="6968" max="6968" width="13.85546875" style="119" customWidth="1"/>
    <col min="6969" max="6969" width="13.140625" style="119" customWidth="1"/>
    <col min="6970" max="6970" width="14.42578125" style="119" customWidth="1"/>
    <col min="6971" max="6971" width="17.5703125" style="119" customWidth="1"/>
    <col min="6972" max="6972" width="17.28515625" style="119" customWidth="1"/>
    <col min="6973" max="6973" width="15.140625" style="119" bestFit="1" customWidth="1"/>
    <col min="6974" max="6974" width="14.140625" style="119" bestFit="1" customWidth="1"/>
    <col min="6975" max="6975" width="13.85546875" style="119" customWidth="1"/>
    <col min="6976" max="6976" width="12.85546875" style="119" bestFit="1" customWidth="1"/>
    <col min="6977" max="6977" width="9.85546875" style="119" customWidth="1"/>
    <col min="6978" max="6978" width="13" style="119" customWidth="1"/>
    <col min="6979" max="6979" width="11.28515625" style="119" customWidth="1"/>
    <col min="6980" max="6980" width="14.7109375" style="119" bestFit="1" customWidth="1"/>
    <col min="6981" max="6983" width="0" style="119" hidden="1" customWidth="1"/>
    <col min="6984" max="6984" width="2" style="119" customWidth="1"/>
    <col min="6985" max="6985" width="9.28515625" style="119" customWidth="1"/>
    <col min="6986" max="6986" width="13.7109375" style="119" customWidth="1"/>
    <col min="6987" max="6987" width="41.42578125" style="119" customWidth="1"/>
    <col min="6988" max="6989" width="12.5703125" style="119"/>
    <col min="6990" max="6990" width="13.85546875" style="119" customWidth="1"/>
    <col min="6991" max="7152" width="12.5703125" style="119"/>
    <col min="7153" max="7153" width="2" style="119" customWidth="1"/>
    <col min="7154" max="7154" width="31.85546875" style="119" customWidth="1"/>
    <col min="7155" max="7155" width="10" style="119" bestFit="1" customWidth="1"/>
    <col min="7156" max="7156" width="8.140625" style="119" customWidth="1"/>
    <col min="7157" max="7157" width="8.42578125" style="119" bestFit="1" customWidth="1"/>
    <col min="7158" max="7158" width="8" style="119" customWidth="1"/>
    <col min="7159" max="7162" width="0" style="119" hidden="1" customWidth="1"/>
    <col min="7163" max="7164" width="7.85546875" style="119" bestFit="1" customWidth="1"/>
    <col min="7165" max="7165" width="8.7109375" style="119" bestFit="1" customWidth="1"/>
    <col min="7166" max="7166" width="7.42578125" style="119" customWidth="1"/>
    <col min="7167" max="7167" width="6.28515625" style="119" customWidth="1"/>
    <col min="7168" max="7205" width="0" style="119" hidden="1" customWidth="1"/>
    <col min="7206" max="7206" width="15.42578125" style="119" bestFit="1" customWidth="1"/>
    <col min="7207" max="7208" width="15.28515625" style="119" customWidth="1"/>
    <col min="7209" max="7209" width="18" style="119" customWidth="1"/>
    <col min="7210" max="7210" width="14" style="119" customWidth="1"/>
    <col min="7211" max="7211" width="13.42578125" style="119" customWidth="1"/>
    <col min="7212" max="7212" width="15" style="119" customWidth="1"/>
    <col min="7213" max="7213" width="15.28515625" style="119" customWidth="1"/>
    <col min="7214" max="7214" width="14" style="119" customWidth="1"/>
    <col min="7215" max="7216" width="12.140625" style="119" customWidth="1"/>
    <col min="7217" max="7217" width="16.140625" style="119" customWidth="1"/>
    <col min="7218" max="7218" width="14.140625" style="119" customWidth="1"/>
    <col min="7219" max="7219" width="14.42578125" style="119" customWidth="1"/>
    <col min="7220" max="7220" width="12.5703125" style="119"/>
    <col min="7221" max="7221" width="8.85546875" style="119" customWidth="1"/>
    <col min="7222" max="7223" width="14" style="119" customWidth="1"/>
    <col min="7224" max="7224" width="13.85546875" style="119" customWidth="1"/>
    <col min="7225" max="7225" width="13.140625" style="119" customWidth="1"/>
    <col min="7226" max="7226" width="14.42578125" style="119" customWidth="1"/>
    <col min="7227" max="7227" width="17.5703125" style="119" customWidth="1"/>
    <col min="7228" max="7228" width="17.28515625" style="119" customWidth="1"/>
    <col min="7229" max="7229" width="15.140625" style="119" bestFit="1" customWidth="1"/>
    <col min="7230" max="7230" width="14.140625" style="119" bestFit="1" customWidth="1"/>
    <col min="7231" max="7231" width="13.85546875" style="119" customWidth="1"/>
    <col min="7232" max="7232" width="12.85546875" style="119" bestFit="1" customWidth="1"/>
    <col min="7233" max="7233" width="9.85546875" style="119" customWidth="1"/>
    <col min="7234" max="7234" width="13" style="119" customWidth="1"/>
    <col min="7235" max="7235" width="11.28515625" style="119" customWidth="1"/>
    <col min="7236" max="7236" width="14.7109375" style="119" bestFit="1" customWidth="1"/>
    <col min="7237" max="7239" width="0" style="119" hidden="1" customWidth="1"/>
    <col min="7240" max="7240" width="2" style="119" customWidth="1"/>
    <col min="7241" max="7241" width="9.28515625" style="119" customWidth="1"/>
    <col min="7242" max="7242" width="13.7109375" style="119" customWidth="1"/>
    <col min="7243" max="7243" width="41.42578125" style="119" customWidth="1"/>
    <col min="7244" max="7245" width="12.5703125" style="119"/>
    <col min="7246" max="7246" width="13.85546875" style="119" customWidth="1"/>
    <col min="7247" max="7408" width="12.5703125" style="119"/>
    <col min="7409" max="7409" width="2" style="119" customWidth="1"/>
    <col min="7410" max="7410" width="31.85546875" style="119" customWidth="1"/>
    <col min="7411" max="7411" width="10" style="119" bestFit="1" customWidth="1"/>
    <col min="7412" max="7412" width="8.140625" style="119" customWidth="1"/>
    <col min="7413" max="7413" width="8.42578125" style="119" bestFit="1" customWidth="1"/>
    <col min="7414" max="7414" width="8" style="119" customWidth="1"/>
    <col min="7415" max="7418" width="0" style="119" hidden="1" customWidth="1"/>
    <col min="7419" max="7420" width="7.85546875" style="119" bestFit="1" customWidth="1"/>
    <col min="7421" max="7421" width="8.7109375" style="119" bestFit="1" customWidth="1"/>
    <col min="7422" max="7422" width="7.42578125" style="119" customWidth="1"/>
    <col min="7423" max="7423" width="6.28515625" style="119" customWidth="1"/>
    <col min="7424" max="7461" width="0" style="119" hidden="1" customWidth="1"/>
    <col min="7462" max="7462" width="15.42578125" style="119" bestFit="1" customWidth="1"/>
    <col min="7463" max="7464" width="15.28515625" style="119" customWidth="1"/>
    <col min="7465" max="7465" width="18" style="119" customWidth="1"/>
    <col min="7466" max="7466" width="14" style="119" customWidth="1"/>
    <col min="7467" max="7467" width="13.42578125" style="119" customWidth="1"/>
    <col min="7468" max="7468" width="15" style="119" customWidth="1"/>
    <col min="7469" max="7469" width="15.28515625" style="119" customWidth="1"/>
    <col min="7470" max="7470" width="14" style="119" customWidth="1"/>
    <col min="7471" max="7472" width="12.140625" style="119" customWidth="1"/>
    <col min="7473" max="7473" width="16.140625" style="119" customWidth="1"/>
    <col min="7474" max="7474" width="14.140625" style="119" customWidth="1"/>
    <col min="7475" max="7475" width="14.42578125" style="119" customWidth="1"/>
    <col min="7476" max="7476" width="12.5703125" style="119"/>
    <col min="7477" max="7477" width="8.85546875" style="119" customWidth="1"/>
    <col min="7478" max="7479" width="14" style="119" customWidth="1"/>
    <col min="7480" max="7480" width="13.85546875" style="119" customWidth="1"/>
    <col min="7481" max="7481" width="13.140625" style="119" customWidth="1"/>
    <col min="7482" max="7482" width="14.42578125" style="119" customWidth="1"/>
    <col min="7483" max="7483" width="17.5703125" style="119" customWidth="1"/>
    <col min="7484" max="7484" width="17.28515625" style="119" customWidth="1"/>
    <col min="7485" max="7485" width="15.140625" style="119" bestFit="1" customWidth="1"/>
    <col min="7486" max="7486" width="14.140625" style="119" bestFit="1" customWidth="1"/>
    <col min="7487" max="7487" width="13.85546875" style="119" customWidth="1"/>
    <col min="7488" max="7488" width="12.85546875" style="119" bestFit="1" customWidth="1"/>
    <col min="7489" max="7489" width="9.85546875" style="119" customWidth="1"/>
    <col min="7490" max="7490" width="13" style="119" customWidth="1"/>
    <col min="7491" max="7491" width="11.28515625" style="119" customWidth="1"/>
    <col min="7492" max="7492" width="14.7109375" style="119" bestFit="1" customWidth="1"/>
    <col min="7493" max="7495" width="0" style="119" hidden="1" customWidth="1"/>
    <col min="7496" max="7496" width="2" style="119" customWidth="1"/>
    <col min="7497" max="7497" width="9.28515625" style="119" customWidth="1"/>
    <col min="7498" max="7498" width="13.7109375" style="119" customWidth="1"/>
    <col min="7499" max="7499" width="41.42578125" style="119" customWidth="1"/>
    <col min="7500" max="7501" width="12.5703125" style="119"/>
    <col min="7502" max="7502" width="13.85546875" style="119" customWidth="1"/>
    <col min="7503" max="7664" width="12.5703125" style="119"/>
    <col min="7665" max="7665" width="2" style="119" customWidth="1"/>
    <col min="7666" max="7666" width="31.85546875" style="119" customWidth="1"/>
    <col min="7667" max="7667" width="10" style="119" bestFit="1" customWidth="1"/>
    <col min="7668" max="7668" width="8.140625" style="119" customWidth="1"/>
    <col min="7669" max="7669" width="8.42578125" style="119" bestFit="1" customWidth="1"/>
    <col min="7670" max="7670" width="8" style="119" customWidth="1"/>
    <col min="7671" max="7674" width="0" style="119" hidden="1" customWidth="1"/>
    <col min="7675" max="7676" width="7.85546875" style="119" bestFit="1" customWidth="1"/>
    <col min="7677" max="7677" width="8.7109375" style="119" bestFit="1" customWidth="1"/>
    <col min="7678" max="7678" width="7.42578125" style="119" customWidth="1"/>
    <col min="7679" max="7679" width="6.28515625" style="119" customWidth="1"/>
    <col min="7680" max="7717" width="0" style="119" hidden="1" customWidth="1"/>
    <col min="7718" max="7718" width="15.42578125" style="119" bestFit="1" customWidth="1"/>
    <col min="7719" max="7720" width="15.28515625" style="119" customWidth="1"/>
    <col min="7721" max="7721" width="18" style="119" customWidth="1"/>
    <col min="7722" max="7722" width="14" style="119" customWidth="1"/>
    <col min="7723" max="7723" width="13.42578125" style="119" customWidth="1"/>
    <col min="7724" max="7724" width="15" style="119" customWidth="1"/>
    <col min="7725" max="7725" width="15.28515625" style="119" customWidth="1"/>
    <col min="7726" max="7726" width="14" style="119" customWidth="1"/>
    <col min="7727" max="7728" width="12.140625" style="119" customWidth="1"/>
    <col min="7729" max="7729" width="16.140625" style="119" customWidth="1"/>
    <col min="7730" max="7730" width="14.140625" style="119" customWidth="1"/>
    <col min="7731" max="7731" width="14.42578125" style="119" customWidth="1"/>
    <col min="7732" max="7732" width="12.5703125" style="119"/>
    <col min="7733" max="7733" width="8.85546875" style="119" customWidth="1"/>
    <col min="7734" max="7735" width="14" style="119" customWidth="1"/>
    <col min="7736" max="7736" width="13.85546875" style="119" customWidth="1"/>
    <col min="7737" max="7737" width="13.140625" style="119" customWidth="1"/>
    <col min="7738" max="7738" width="14.42578125" style="119" customWidth="1"/>
    <col min="7739" max="7739" width="17.5703125" style="119" customWidth="1"/>
    <col min="7740" max="7740" width="17.28515625" style="119" customWidth="1"/>
    <col min="7741" max="7741" width="15.140625" style="119" bestFit="1" customWidth="1"/>
    <col min="7742" max="7742" width="14.140625" style="119" bestFit="1" customWidth="1"/>
    <col min="7743" max="7743" width="13.85546875" style="119" customWidth="1"/>
    <col min="7744" max="7744" width="12.85546875" style="119" bestFit="1" customWidth="1"/>
    <col min="7745" max="7745" width="9.85546875" style="119" customWidth="1"/>
    <col min="7746" max="7746" width="13" style="119" customWidth="1"/>
    <col min="7747" max="7747" width="11.28515625" style="119" customWidth="1"/>
    <col min="7748" max="7748" width="14.7109375" style="119" bestFit="1" customWidth="1"/>
    <col min="7749" max="7751" width="0" style="119" hidden="1" customWidth="1"/>
    <col min="7752" max="7752" width="2" style="119" customWidth="1"/>
    <col min="7753" max="7753" width="9.28515625" style="119" customWidth="1"/>
    <col min="7754" max="7754" width="13.7109375" style="119" customWidth="1"/>
    <col min="7755" max="7755" width="41.42578125" style="119" customWidth="1"/>
    <col min="7756" max="7757" width="12.5703125" style="119"/>
    <col min="7758" max="7758" width="13.85546875" style="119" customWidth="1"/>
    <col min="7759" max="7920" width="12.5703125" style="119"/>
    <col min="7921" max="7921" width="2" style="119" customWidth="1"/>
    <col min="7922" max="7922" width="31.85546875" style="119" customWidth="1"/>
    <col min="7923" max="7923" width="10" style="119" bestFit="1" customWidth="1"/>
    <col min="7924" max="7924" width="8.140625" style="119" customWidth="1"/>
    <col min="7925" max="7925" width="8.42578125" style="119" bestFit="1" customWidth="1"/>
    <col min="7926" max="7926" width="8" style="119" customWidth="1"/>
    <col min="7927" max="7930" width="0" style="119" hidden="1" customWidth="1"/>
    <col min="7931" max="7932" width="7.85546875" style="119" bestFit="1" customWidth="1"/>
    <col min="7933" max="7933" width="8.7109375" style="119" bestFit="1" customWidth="1"/>
    <col min="7934" max="7934" width="7.42578125" style="119" customWidth="1"/>
    <col min="7935" max="7935" width="6.28515625" style="119" customWidth="1"/>
    <col min="7936" max="7973" width="0" style="119" hidden="1" customWidth="1"/>
    <col min="7974" max="7974" width="15.42578125" style="119" bestFit="1" customWidth="1"/>
    <col min="7975" max="7976" width="15.28515625" style="119" customWidth="1"/>
    <col min="7977" max="7977" width="18" style="119" customWidth="1"/>
    <col min="7978" max="7978" width="14" style="119" customWidth="1"/>
    <col min="7979" max="7979" width="13.42578125" style="119" customWidth="1"/>
    <col min="7980" max="7980" width="15" style="119" customWidth="1"/>
    <col min="7981" max="7981" width="15.28515625" style="119" customWidth="1"/>
    <col min="7982" max="7982" width="14" style="119" customWidth="1"/>
    <col min="7983" max="7984" width="12.140625" style="119" customWidth="1"/>
    <col min="7985" max="7985" width="16.140625" style="119" customWidth="1"/>
    <col min="7986" max="7986" width="14.140625" style="119" customWidth="1"/>
    <col min="7987" max="7987" width="14.42578125" style="119" customWidth="1"/>
    <col min="7988" max="7988" width="12.5703125" style="119"/>
    <col min="7989" max="7989" width="8.85546875" style="119" customWidth="1"/>
    <col min="7990" max="7991" width="14" style="119" customWidth="1"/>
    <col min="7992" max="7992" width="13.85546875" style="119" customWidth="1"/>
    <col min="7993" max="7993" width="13.140625" style="119" customWidth="1"/>
    <col min="7994" max="7994" width="14.42578125" style="119" customWidth="1"/>
    <col min="7995" max="7995" width="17.5703125" style="119" customWidth="1"/>
    <col min="7996" max="7996" width="17.28515625" style="119" customWidth="1"/>
    <col min="7997" max="7997" width="15.140625" style="119" bestFit="1" customWidth="1"/>
    <col min="7998" max="7998" width="14.140625" style="119" bestFit="1" customWidth="1"/>
    <col min="7999" max="7999" width="13.85546875" style="119" customWidth="1"/>
    <col min="8000" max="8000" width="12.85546875" style="119" bestFit="1" customWidth="1"/>
    <col min="8001" max="8001" width="9.85546875" style="119" customWidth="1"/>
    <col min="8002" max="8002" width="13" style="119" customWidth="1"/>
    <col min="8003" max="8003" width="11.28515625" style="119" customWidth="1"/>
    <col min="8004" max="8004" width="14.7109375" style="119" bestFit="1" customWidth="1"/>
    <col min="8005" max="8007" width="0" style="119" hidden="1" customWidth="1"/>
    <col min="8008" max="8008" width="2" style="119" customWidth="1"/>
    <col min="8009" max="8009" width="9.28515625" style="119" customWidth="1"/>
    <col min="8010" max="8010" width="13.7109375" style="119" customWidth="1"/>
    <col min="8011" max="8011" width="41.42578125" style="119" customWidth="1"/>
    <col min="8012" max="8013" width="12.5703125" style="119"/>
    <col min="8014" max="8014" width="13.85546875" style="119" customWidth="1"/>
    <col min="8015" max="8176" width="12.5703125" style="119"/>
    <col min="8177" max="8177" width="2" style="119" customWidth="1"/>
    <col min="8178" max="8178" width="31.85546875" style="119" customWidth="1"/>
    <col min="8179" max="8179" width="10" style="119" bestFit="1" customWidth="1"/>
    <col min="8180" max="8180" width="8.140625" style="119" customWidth="1"/>
    <col min="8181" max="8181" width="8.42578125" style="119" bestFit="1" customWidth="1"/>
    <col min="8182" max="8182" width="8" style="119" customWidth="1"/>
    <col min="8183" max="8186" width="0" style="119" hidden="1" customWidth="1"/>
    <col min="8187" max="8188" width="7.85546875" style="119" bestFit="1" customWidth="1"/>
    <col min="8189" max="8189" width="8.7109375" style="119" bestFit="1" customWidth="1"/>
    <col min="8190" max="8190" width="7.42578125" style="119" customWidth="1"/>
    <col min="8191" max="8191" width="6.28515625" style="119" customWidth="1"/>
    <col min="8192" max="8229" width="0" style="119" hidden="1" customWidth="1"/>
    <col min="8230" max="8230" width="15.42578125" style="119" bestFit="1" customWidth="1"/>
    <col min="8231" max="8232" width="15.28515625" style="119" customWidth="1"/>
    <col min="8233" max="8233" width="18" style="119" customWidth="1"/>
    <col min="8234" max="8234" width="14" style="119" customWidth="1"/>
    <col min="8235" max="8235" width="13.42578125" style="119" customWidth="1"/>
    <col min="8236" max="8236" width="15" style="119" customWidth="1"/>
    <col min="8237" max="8237" width="15.28515625" style="119" customWidth="1"/>
    <col min="8238" max="8238" width="14" style="119" customWidth="1"/>
    <col min="8239" max="8240" width="12.140625" style="119" customWidth="1"/>
    <col min="8241" max="8241" width="16.140625" style="119" customWidth="1"/>
    <col min="8242" max="8242" width="14.140625" style="119" customWidth="1"/>
    <col min="8243" max="8243" width="14.42578125" style="119" customWidth="1"/>
    <col min="8244" max="8244" width="12.5703125" style="119"/>
    <col min="8245" max="8245" width="8.85546875" style="119" customWidth="1"/>
    <col min="8246" max="8247" width="14" style="119" customWidth="1"/>
    <col min="8248" max="8248" width="13.85546875" style="119" customWidth="1"/>
    <col min="8249" max="8249" width="13.140625" style="119" customWidth="1"/>
    <col min="8250" max="8250" width="14.42578125" style="119" customWidth="1"/>
    <col min="8251" max="8251" width="17.5703125" style="119" customWidth="1"/>
    <col min="8252" max="8252" width="17.28515625" style="119" customWidth="1"/>
    <col min="8253" max="8253" width="15.140625" style="119" bestFit="1" customWidth="1"/>
    <col min="8254" max="8254" width="14.140625" style="119" bestFit="1" customWidth="1"/>
    <col min="8255" max="8255" width="13.85546875" style="119" customWidth="1"/>
    <col min="8256" max="8256" width="12.85546875" style="119" bestFit="1" customWidth="1"/>
    <col min="8257" max="8257" width="9.85546875" style="119" customWidth="1"/>
    <col min="8258" max="8258" width="13" style="119" customWidth="1"/>
    <col min="8259" max="8259" width="11.28515625" style="119" customWidth="1"/>
    <col min="8260" max="8260" width="14.7109375" style="119" bestFit="1" customWidth="1"/>
    <col min="8261" max="8263" width="0" style="119" hidden="1" customWidth="1"/>
    <col min="8264" max="8264" width="2" style="119" customWidth="1"/>
    <col min="8265" max="8265" width="9.28515625" style="119" customWidth="1"/>
    <col min="8266" max="8266" width="13.7109375" style="119" customWidth="1"/>
    <col min="8267" max="8267" width="41.42578125" style="119" customWidth="1"/>
    <col min="8268" max="8269" width="12.5703125" style="119"/>
    <col min="8270" max="8270" width="13.85546875" style="119" customWidth="1"/>
    <col min="8271" max="8432" width="12.5703125" style="119"/>
    <col min="8433" max="8433" width="2" style="119" customWidth="1"/>
    <col min="8434" max="8434" width="31.85546875" style="119" customWidth="1"/>
    <col min="8435" max="8435" width="10" style="119" bestFit="1" customWidth="1"/>
    <col min="8436" max="8436" width="8.140625" style="119" customWidth="1"/>
    <col min="8437" max="8437" width="8.42578125" style="119" bestFit="1" customWidth="1"/>
    <col min="8438" max="8438" width="8" style="119" customWidth="1"/>
    <col min="8439" max="8442" width="0" style="119" hidden="1" customWidth="1"/>
    <col min="8443" max="8444" width="7.85546875" style="119" bestFit="1" customWidth="1"/>
    <col min="8445" max="8445" width="8.7109375" style="119" bestFit="1" customWidth="1"/>
    <col min="8446" max="8446" width="7.42578125" style="119" customWidth="1"/>
    <col min="8447" max="8447" width="6.28515625" style="119" customWidth="1"/>
    <col min="8448" max="8485" width="0" style="119" hidden="1" customWidth="1"/>
    <col min="8486" max="8486" width="15.42578125" style="119" bestFit="1" customWidth="1"/>
    <col min="8487" max="8488" width="15.28515625" style="119" customWidth="1"/>
    <col min="8489" max="8489" width="18" style="119" customWidth="1"/>
    <col min="8490" max="8490" width="14" style="119" customWidth="1"/>
    <col min="8491" max="8491" width="13.42578125" style="119" customWidth="1"/>
    <col min="8492" max="8492" width="15" style="119" customWidth="1"/>
    <col min="8493" max="8493" width="15.28515625" style="119" customWidth="1"/>
    <col min="8494" max="8494" width="14" style="119" customWidth="1"/>
    <col min="8495" max="8496" width="12.140625" style="119" customWidth="1"/>
    <col min="8497" max="8497" width="16.140625" style="119" customWidth="1"/>
    <col min="8498" max="8498" width="14.140625" style="119" customWidth="1"/>
    <col min="8499" max="8499" width="14.42578125" style="119" customWidth="1"/>
    <col min="8500" max="8500" width="12.5703125" style="119"/>
    <col min="8501" max="8501" width="8.85546875" style="119" customWidth="1"/>
    <col min="8502" max="8503" width="14" style="119" customWidth="1"/>
    <col min="8504" max="8504" width="13.85546875" style="119" customWidth="1"/>
    <col min="8505" max="8505" width="13.140625" style="119" customWidth="1"/>
    <col min="8506" max="8506" width="14.42578125" style="119" customWidth="1"/>
    <col min="8507" max="8507" width="17.5703125" style="119" customWidth="1"/>
    <col min="8508" max="8508" width="17.28515625" style="119" customWidth="1"/>
    <col min="8509" max="8509" width="15.140625" style="119" bestFit="1" customWidth="1"/>
    <col min="8510" max="8510" width="14.140625" style="119" bestFit="1" customWidth="1"/>
    <col min="8511" max="8511" width="13.85546875" style="119" customWidth="1"/>
    <col min="8512" max="8512" width="12.85546875" style="119" bestFit="1" customWidth="1"/>
    <col min="8513" max="8513" width="9.85546875" style="119" customWidth="1"/>
    <col min="8514" max="8514" width="13" style="119" customWidth="1"/>
    <col min="8515" max="8515" width="11.28515625" style="119" customWidth="1"/>
    <col min="8516" max="8516" width="14.7109375" style="119" bestFit="1" customWidth="1"/>
    <col min="8517" max="8519" width="0" style="119" hidden="1" customWidth="1"/>
    <col min="8520" max="8520" width="2" style="119" customWidth="1"/>
    <col min="8521" max="8521" width="9.28515625" style="119" customWidth="1"/>
    <col min="8522" max="8522" width="13.7109375" style="119" customWidth="1"/>
    <col min="8523" max="8523" width="41.42578125" style="119" customWidth="1"/>
    <col min="8524" max="8525" width="12.5703125" style="119"/>
    <col min="8526" max="8526" width="13.85546875" style="119" customWidth="1"/>
    <col min="8527" max="8688" width="12.5703125" style="119"/>
    <col min="8689" max="8689" width="2" style="119" customWidth="1"/>
    <col min="8690" max="8690" width="31.85546875" style="119" customWidth="1"/>
    <col min="8691" max="8691" width="10" style="119" bestFit="1" customWidth="1"/>
    <col min="8692" max="8692" width="8.140625" style="119" customWidth="1"/>
    <col min="8693" max="8693" width="8.42578125" style="119" bestFit="1" customWidth="1"/>
    <col min="8694" max="8694" width="8" style="119" customWidth="1"/>
    <col min="8695" max="8698" width="0" style="119" hidden="1" customWidth="1"/>
    <col min="8699" max="8700" width="7.85546875" style="119" bestFit="1" customWidth="1"/>
    <col min="8701" max="8701" width="8.7109375" style="119" bestFit="1" customWidth="1"/>
    <col min="8702" max="8702" width="7.42578125" style="119" customWidth="1"/>
    <col min="8703" max="8703" width="6.28515625" style="119" customWidth="1"/>
    <col min="8704" max="8741" width="0" style="119" hidden="1" customWidth="1"/>
    <col min="8742" max="8742" width="15.42578125" style="119" bestFit="1" customWidth="1"/>
    <col min="8743" max="8744" width="15.28515625" style="119" customWidth="1"/>
    <col min="8745" max="8745" width="18" style="119" customWidth="1"/>
    <col min="8746" max="8746" width="14" style="119" customWidth="1"/>
    <col min="8747" max="8747" width="13.42578125" style="119" customWidth="1"/>
    <col min="8748" max="8748" width="15" style="119" customWidth="1"/>
    <col min="8749" max="8749" width="15.28515625" style="119" customWidth="1"/>
    <col min="8750" max="8750" width="14" style="119" customWidth="1"/>
    <col min="8751" max="8752" width="12.140625" style="119" customWidth="1"/>
    <col min="8753" max="8753" width="16.140625" style="119" customWidth="1"/>
    <col min="8754" max="8754" width="14.140625" style="119" customWidth="1"/>
    <col min="8755" max="8755" width="14.42578125" style="119" customWidth="1"/>
    <col min="8756" max="8756" width="12.5703125" style="119"/>
    <col min="8757" max="8757" width="8.85546875" style="119" customWidth="1"/>
    <col min="8758" max="8759" width="14" style="119" customWidth="1"/>
    <col min="8760" max="8760" width="13.85546875" style="119" customWidth="1"/>
    <col min="8761" max="8761" width="13.140625" style="119" customWidth="1"/>
    <col min="8762" max="8762" width="14.42578125" style="119" customWidth="1"/>
    <col min="8763" max="8763" width="17.5703125" style="119" customWidth="1"/>
    <col min="8764" max="8764" width="17.28515625" style="119" customWidth="1"/>
    <col min="8765" max="8765" width="15.140625" style="119" bestFit="1" customWidth="1"/>
    <col min="8766" max="8766" width="14.140625" style="119" bestFit="1" customWidth="1"/>
    <col min="8767" max="8767" width="13.85546875" style="119" customWidth="1"/>
    <col min="8768" max="8768" width="12.85546875" style="119" bestFit="1" customWidth="1"/>
    <col min="8769" max="8769" width="9.85546875" style="119" customWidth="1"/>
    <col min="8770" max="8770" width="13" style="119" customWidth="1"/>
    <col min="8771" max="8771" width="11.28515625" style="119" customWidth="1"/>
    <col min="8772" max="8772" width="14.7109375" style="119" bestFit="1" customWidth="1"/>
    <col min="8773" max="8775" width="0" style="119" hidden="1" customWidth="1"/>
    <col min="8776" max="8776" width="2" style="119" customWidth="1"/>
    <col min="8777" max="8777" width="9.28515625" style="119" customWidth="1"/>
    <col min="8778" max="8778" width="13.7109375" style="119" customWidth="1"/>
    <col min="8779" max="8779" width="41.42578125" style="119" customWidth="1"/>
    <col min="8780" max="8781" width="12.5703125" style="119"/>
    <col min="8782" max="8782" width="13.85546875" style="119" customWidth="1"/>
    <col min="8783" max="8944" width="12.5703125" style="119"/>
    <col min="8945" max="8945" width="2" style="119" customWidth="1"/>
    <col min="8946" max="8946" width="31.85546875" style="119" customWidth="1"/>
    <col min="8947" max="8947" width="10" style="119" bestFit="1" customWidth="1"/>
    <col min="8948" max="8948" width="8.140625" style="119" customWidth="1"/>
    <col min="8949" max="8949" width="8.42578125" style="119" bestFit="1" customWidth="1"/>
    <col min="8950" max="8950" width="8" style="119" customWidth="1"/>
    <col min="8951" max="8954" width="0" style="119" hidden="1" customWidth="1"/>
    <col min="8955" max="8956" width="7.85546875" style="119" bestFit="1" customWidth="1"/>
    <col min="8957" max="8957" width="8.7109375" style="119" bestFit="1" customWidth="1"/>
    <col min="8958" max="8958" width="7.42578125" style="119" customWidth="1"/>
    <col min="8959" max="8959" width="6.28515625" style="119" customWidth="1"/>
    <col min="8960" max="8997" width="0" style="119" hidden="1" customWidth="1"/>
    <col min="8998" max="8998" width="15.42578125" style="119" bestFit="1" customWidth="1"/>
    <col min="8999" max="9000" width="15.28515625" style="119" customWidth="1"/>
    <col min="9001" max="9001" width="18" style="119" customWidth="1"/>
    <col min="9002" max="9002" width="14" style="119" customWidth="1"/>
    <col min="9003" max="9003" width="13.42578125" style="119" customWidth="1"/>
    <col min="9004" max="9004" width="15" style="119" customWidth="1"/>
    <col min="9005" max="9005" width="15.28515625" style="119" customWidth="1"/>
    <col min="9006" max="9006" width="14" style="119" customWidth="1"/>
    <col min="9007" max="9008" width="12.140625" style="119" customWidth="1"/>
    <col min="9009" max="9009" width="16.140625" style="119" customWidth="1"/>
    <col min="9010" max="9010" width="14.140625" style="119" customWidth="1"/>
    <col min="9011" max="9011" width="14.42578125" style="119" customWidth="1"/>
    <col min="9012" max="9012" width="12.5703125" style="119"/>
    <col min="9013" max="9013" width="8.85546875" style="119" customWidth="1"/>
    <col min="9014" max="9015" width="14" style="119" customWidth="1"/>
    <col min="9016" max="9016" width="13.85546875" style="119" customWidth="1"/>
    <col min="9017" max="9017" width="13.140625" style="119" customWidth="1"/>
    <col min="9018" max="9018" width="14.42578125" style="119" customWidth="1"/>
    <col min="9019" max="9019" width="17.5703125" style="119" customWidth="1"/>
    <col min="9020" max="9020" width="17.28515625" style="119" customWidth="1"/>
    <col min="9021" max="9021" width="15.140625" style="119" bestFit="1" customWidth="1"/>
    <col min="9022" max="9022" width="14.140625" style="119" bestFit="1" customWidth="1"/>
    <col min="9023" max="9023" width="13.85546875" style="119" customWidth="1"/>
    <col min="9024" max="9024" width="12.85546875" style="119" bestFit="1" customWidth="1"/>
    <col min="9025" max="9025" width="9.85546875" style="119" customWidth="1"/>
    <col min="9026" max="9026" width="13" style="119" customWidth="1"/>
    <col min="9027" max="9027" width="11.28515625" style="119" customWidth="1"/>
    <col min="9028" max="9028" width="14.7109375" style="119" bestFit="1" customWidth="1"/>
    <col min="9029" max="9031" width="0" style="119" hidden="1" customWidth="1"/>
    <col min="9032" max="9032" width="2" style="119" customWidth="1"/>
    <col min="9033" max="9033" width="9.28515625" style="119" customWidth="1"/>
    <col min="9034" max="9034" width="13.7109375" style="119" customWidth="1"/>
    <col min="9035" max="9035" width="41.42578125" style="119" customWidth="1"/>
    <col min="9036" max="9037" width="12.5703125" style="119"/>
    <col min="9038" max="9038" width="13.85546875" style="119" customWidth="1"/>
    <col min="9039" max="9200" width="12.5703125" style="119"/>
    <col min="9201" max="9201" width="2" style="119" customWidth="1"/>
    <col min="9202" max="9202" width="31.85546875" style="119" customWidth="1"/>
    <col min="9203" max="9203" width="10" style="119" bestFit="1" customWidth="1"/>
    <col min="9204" max="9204" width="8.140625" style="119" customWidth="1"/>
    <col min="9205" max="9205" width="8.42578125" style="119" bestFit="1" customWidth="1"/>
    <col min="9206" max="9206" width="8" style="119" customWidth="1"/>
    <col min="9207" max="9210" width="0" style="119" hidden="1" customWidth="1"/>
    <col min="9211" max="9212" width="7.85546875" style="119" bestFit="1" customWidth="1"/>
    <col min="9213" max="9213" width="8.7109375" style="119" bestFit="1" customWidth="1"/>
    <col min="9214" max="9214" width="7.42578125" style="119" customWidth="1"/>
    <col min="9215" max="9215" width="6.28515625" style="119" customWidth="1"/>
    <col min="9216" max="9253" width="0" style="119" hidden="1" customWidth="1"/>
    <col min="9254" max="9254" width="15.42578125" style="119" bestFit="1" customWidth="1"/>
    <col min="9255" max="9256" width="15.28515625" style="119" customWidth="1"/>
    <col min="9257" max="9257" width="18" style="119" customWidth="1"/>
    <col min="9258" max="9258" width="14" style="119" customWidth="1"/>
    <col min="9259" max="9259" width="13.42578125" style="119" customWidth="1"/>
    <col min="9260" max="9260" width="15" style="119" customWidth="1"/>
    <col min="9261" max="9261" width="15.28515625" style="119" customWidth="1"/>
    <col min="9262" max="9262" width="14" style="119" customWidth="1"/>
    <col min="9263" max="9264" width="12.140625" style="119" customWidth="1"/>
    <col min="9265" max="9265" width="16.140625" style="119" customWidth="1"/>
    <col min="9266" max="9266" width="14.140625" style="119" customWidth="1"/>
    <col min="9267" max="9267" width="14.42578125" style="119" customWidth="1"/>
    <col min="9268" max="9268" width="12.5703125" style="119"/>
    <col min="9269" max="9269" width="8.85546875" style="119" customWidth="1"/>
    <col min="9270" max="9271" width="14" style="119" customWidth="1"/>
    <col min="9272" max="9272" width="13.85546875" style="119" customWidth="1"/>
    <col min="9273" max="9273" width="13.140625" style="119" customWidth="1"/>
    <col min="9274" max="9274" width="14.42578125" style="119" customWidth="1"/>
    <col min="9275" max="9275" width="17.5703125" style="119" customWidth="1"/>
    <col min="9276" max="9276" width="17.28515625" style="119" customWidth="1"/>
    <col min="9277" max="9277" width="15.140625" style="119" bestFit="1" customWidth="1"/>
    <col min="9278" max="9278" width="14.140625" style="119" bestFit="1" customWidth="1"/>
    <col min="9279" max="9279" width="13.85546875" style="119" customWidth="1"/>
    <col min="9280" max="9280" width="12.85546875" style="119" bestFit="1" customWidth="1"/>
    <col min="9281" max="9281" width="9.85546875" style="119" customWidth="1"/>
    <col min="9282" max="9282" width="13" style="119" customWidth="1"/>
    <col min="9283" max="9283" width="11.28515625" style="119" customWidth="1"/>
    <col min="9284" max="9284" width="14.7109375" style="119" bestFit="1" customWidth="1"/>
    <col min="9285" max="9287" width="0" style="119" hidden="1" customWidth="1"/>
    <col min="9288" max="9288" width="2" style="119" customWidth="1"/>
    <col min="9289" max="9289" width="9.28515625" style="119" customWidth="1"/>
    <col min="9290" max="9290" width="13.7109375" style="119" customWidth="1"/>
    <col min="9291" max="9291" width="41.42578125" style="119" customWidth="1"/>
    <col min="9292" max="9293" width="12.5703125" style="119"/>
    <col min="9294" max="9294" width="13.85546875" style="119" customWidth="1"/>
    <col min="9295" max="9456" width="12.5703125" style="119"/>
    <col min="9457" max="9457" width="2" style="119" customWidth="1"/>
    <col min="9458" max="9458" width="31.85546875" style="119" customWidth="1"/>
    <col min="9459" max="9459" width="10" style="119" bestFit="1" customWidth="1"/>
    <col min="9460" max="9460" width="8.140625" style="119" customWidth="1"/>
    <col min="9461" max="9461" width="8.42578125" style="119" bestFit="1" customWidth="1"/>
    <col min="9462" max="9462" width="8" style="119" customWidth="1"/>
    <col min="9463" max="9466" width="0" style="119" hidden="1" customWidth="1"/>
    <col min="9467" max="9468" width="7.85546875" style="119" bestFit="1" customWidth="1"/>
    <col min="9469" max="9469" width="8.7109375" style="119" bestFit="1" customWidth="1"/>
    <col min="9470" max="9470" width="7.42578125" style="119" customWidth="1"/>
    <col min="9471" max="9471" width="6.28515625" style="119" customWidth="1"/>
    <col min="9472" max="9509" width="0" style="119" hidden="1" customWidth="1"/>
    <col min="9510" max="9510" width="15.42578125" style="119" bestFit="1" customWidth="1"/>
    <col min="9511" max="9512" width="15.28515625" style="119" customWidth="1"/>
    <col min="9513" max="9513" width="18" style="119" customWidth="1"/>
    <col min="9514" max="9514" width="14" style="119" customWidth="1"/>
    <col min="9515" max="9515" width="13.42578125" style="119" customWidth="1"/>
    <col min="9516" max="9516" width="15" style="119" customWidth="1"/>
    <col min="9517" max="9517" width="15.28515625" style="119" customWidth="1"/>
    <col min="9518" max="9518" width="14" style="119" customWidth="1"/>
    <col min="9519" max="9520" width="12.140625" style="119" customWidth="1"/>
    <col min="9521" max="9521" width="16.140625" style="119" customWidth="1"/>
    <col min="9522" max="9522" width="14.140625" style="119" customWidth="1"/>
    <col min="9523" max="9523" width="14.42578125" style="119" customWidth="1"/>
    <col min="9524" max="9524" width="12.5703125" style="119"/>
    <col min="9525" max="9525" width="8.85546875" style="119" customWidth="1"/>
    <col min="9526" max="9527" width="14" style="119" customWidth="1"/>
    <col min="9528" max="9528" width="13.85546875" style="119" customWidth="1"/>
    <col min="9529" max="9529" width="13.140625" style="119" customWidth="1"/>
    <col min="9530" max="9530" width="14.42578125" style="119" customWidth="1"/>
    <col min="9531" max="9531" width="17.5703125" style="119" customWidth="1"/>
    <col min="9532" max="9532" width="17.28515625" style="119" customWidth="1"/>
    <col min="9533" max="9533" width="15.140625" style="119" bestFit="1" customWidth="1"/>
    <col min="9534" max="9534" width="14.140625" style="119" bestFit="1" customWidth="1"/>
    <col min="9535" max="9535" width="13.85546875" style="119" customWidth="1"/>
    <col min="9536" max="9536" width="12.85546875" style="119" bestFit="1" customWidth="1"/>
    <col min="9537" max="9537" width="9.85546875" style="119" customWidth="1"/>
    <col min="9538" max="9538" width="13" style="119" customWidth="1"/>
    <col min="9539" max="9539" width="11.28515625" style="119" customWidth="1"/>
    <col min="9540" max="9540" width="14.7109375" style="119" bestFit="1" customWidth="1"/>
    <col min="9541" max="9543" width="0" style="119" hidden="1" customWidth="1"/>
    <col min="9544" max="9544" width="2" style="119" customWidth="1"/>
    <col min="9545" max="9545" width="9.28515625" style="119" customWidth="1"/>
    <col min="9546" max="9546" width="13.7109375" style="119" customWidth="1"/>
    <col min="9547" max="9547" width="41.42578125" style="119" customWidth="1"/>
    <col min="9548" max="9549" width="12.5703125" style="119"/>
    <col min="9550" max="9550" width="13.85546875" style="119" customWidth="1"/>
    <col min="9551" max="9712" width="12.5703125" style="119"/>
    <col min="9713" max="9713" width="2" style="119" customWidth="1"/>
    <col min="9714" max="9714" width="31.85546875" style="119" customWidth="1"/>
    <col min="9715" max="9715" width="10" style="119" bestFit="1" customWidth="1"/>
    <col min="9716" max="9716" width="8.140625" style="119" customWidth="1"/>
    <col min="9717" max="9717" width="8.42578125" style="119" bestFit="1" customWidth="1"/>
    <col min="9718" max="9718" width="8" style="119" customWidth="1"/>
    <col min="9719" max="9722" width="0" style="119" hidden="1" customWidth="1"/>
    <col min="9723" max="9724" width="7.85546875" style="119" bestFit="1" customWidth="1"/>
    <col min="9725" max="9725" width="8.7109375" style="119" bestFit="1" customWidth="1"/>
    <col min="9726" max="9726" width="7.42578125" style="119" customWidth="1"/>
    <col min="9727" max="9727" width="6.28515625" style="119" customWidth="1"/>
    <col min="9728" max="9765" width="0" style="119" hidden="1" customWidth="1"/>
    <col min="9766" max="9766" width="15.42578125" style="119" bestFit="1" customWidth="1"/>
    <col min="9767" max="9768" width="15.28515625" style="119" customWidth="1"/>
    <col min="9769" max="9769" width="18" style="119" customWidth="1"/>
    <col min="9770" max="9770" width="14" style="119" customWidth="1"/>
    <col min="9771" max="9771" width="13.42578125" style="119" customWidth="1"/>
    <col min="9772" max="9772" width="15" style="119" customWidth="1"/>
    <col min="9773" max="9773" width="15.28515625" style="119" customWidth="1"/>
    <col min="9774" max="9774" width="14" style="119" customWidth="1"/>
    <col min="9775" max="9776" width="12.140625" style="119" customWidth="1"/>
    <col min="9777" max="9777" width="16.140625" style="119" customWidth="1"/>
    <col min="9778" max="9778" width="14.140625" style="119" customWidth="1"/>
    <col min="9779" max="9779" width="14.42578125" style="119" customWidth="1"/>
    <col min="9780" max="9780" width="12.5703125" style="119"/>
    <col min="9781" max="9781" width="8.85546875" style="119" customWidth="1"/>
    <col min="9782" max="9783" width="14" style="119" customWidth="1"/>
    <col min="9784" max="9784" width="13.85546875" style="119" customWidth="1"/>
    <col min="9785" max="9785" width="13.140625" style="119" customWidth="1"/>
    <col min="9786" max="9786" width="14.42578125" style="119" customWidth="1"/>
    <col min="9787" max="9787" width="17.5703125" style="119" customWidth="1"/>
    <col min="9788" max="9788" width="17.28515625" style="119" customWidth="1"/>
    <col min="9789" max="9789" width="15.140625" style="119" bestFit="1" customWidth="1"/>
    <col min="9790" max="9790" width="14.140625" style="119" bestFit="1" customWidth="1"/>
    <col min="9791" max="9791" width="13.85546875" style="119" customWidth="1"/>
    <col min="9792" max="9792" width="12.85546875" style="119" bestFit="1" customWidth="1"/>
    <col min="9793" max="9793" width="9.85546875" style="119" customWidth="1"/>
    <col min="9794" max="9794" width="13" style="119" customWidth="1"/>
    <col min="9795" max="9795" width="11.28515625" style="119" customWidth="1"/>
    <col min="9796" max="9796" width="14.7109375" style="119" bestFit="1" customWidth="1"/>
    <col min="9797" max="9799" width="0" style="119" hidden="1" customWidth="1"/>
    <col min="9800" max="9800" width="2" style="119" customWidth="1"/>
    <col min="9801" max="9801" width="9.28515625" style="119" customWidth="1"/>
    <col min="9802" max="9802" width="13.7109375" style="119" customWidth="1"/>
    <col min="9803" max="9803" width="41.42578125" style="119" customWidth="1"/>
    <col min="9804" max="9805" width="12.5703125" style="119"/>
    <col min="9806" max="9806" width="13.85546875" style="119" customWidth="1"/>
    <col min="9807" max="9968" width="12.5703125" style="119"/>
    <col min="9969" max="9969" width="2" style="119" customWidth="1"/>
    <col min="9970" max="9970" width="31.85546875" style="119" customWidth="1"/>
    <col min="9971" max="9971" width="10" style="119" bestFit="1" customWidth="1"/>
    <col min="9972" max="9972" width="8.140625" style="119" customWidth="1"/>
    <col min="9973" max="9973" width="8.42578125" style="119" bestFit="1" customWidth="1"/>
    <col min="9974" max="9974" width="8" style="119" customWidth="1"/>
    <col min="9975" max="9978" width="0" style="119" hidden="1" customWidth="1"/>
    <col min="9979" max="9980" width="7.85546875" style="119" bestFit="1" customWidth="1"/>
    <col min="9981" max="9981" width="8.7109375" style="119" bestFit="1" customWidth="1"/>
    <col min="9982" max="9982" width="7.42578125" style="119" customWidth="1"/>
    <col min="9983" max="9983" width="6.28515625" style="119" customWidth="1"/>
    <col min="9984" max="10021" width="0" style="119" hidden="1" customWidth="1"/>
    <col min="10022" max="10022" width="15.42578125" style="119" bestFit="1" customWidth="1"/>
    <col min="10023" max="10024" width="15.28515625" style="119" customWidth="1"/>
    <col min="10025" max="10025" width="18" style="119" customWidth="1"/>
    <col min="10026" max="10026" width="14" style="119" customWidth="1"/>
    <col min="10027" max="10027" width="13.42578125" style="119" customWidth="1"/>
    <col min="10028" max="10028" width="15" style="119" customWidth="1"/>
    <col min="10029" max="10029" width="15.28515625" style="119" customWidth="1"/>
    <col min="10030" max="10030" width="14" style="119" customWidth="1"/>
    <col min="10031" max="10032" width="12.140625" style="119" customWidth="1"/>
    <col min="10033" max="10033" width="16.140625" style="119" customWidth="1"/>
    <col min="10034" max="10034" width="14.140625" style="119" customWidth="1"/>
    <col min="10035" max="10035" width="14.42578125" style="119" customWidth="1"/>
    <col min="10036" max="10036" width="12.5703125" style="119"/>
    <col min="10037" max="10037" width="8.85546875" style="119" customWidth="1"/>
    <col min="10038" max="10039" width="14" style="119" customWidth="1"/>
    <col min="10040" max="10040" width="13.85546875" style="119" customWidth="1"/>
    <col min="10041" max="10041" width="13.140625" style="119" customWidth="1"/>
    <col min="10042" max="10042" width="14.42578125" style="119" customWidth="1"/>
    <col min="10043" max="10043" width="17.5703125" style="119" customWidth="1"/>
    <col min="10044" max="10044" width="17.28515625" style="119" customWidth="1"/>
    <col min="10045" max="10045" width="15.140625" style="119" bestFit="1" customWidth="1"/>
    <col min="10046" max="10046" width="14.140625" style="119" bestFit="1" customWidth="1"/>
    <col min="10047" max="10047" width="13.85546875" style="119" customWidth="1"/>
    <col min="10048" max="10048" width="12.85546875" style="119" bestFit="1" customWidth="1"/>
    <col min="10049" max="10049" width="9.85546875" style="119" customWidth="1"/>
    <col min="10050" max="10050" width="13" style="119" customWidth="1"/>
    <col min="10051" max="10051" width="11.28515625" style="119" customWidth="1"/>
    <col min="10052" max="10052" width="14.7109375" style="119" bestFit="1" customWidth="1"/>
    <col min="10053" max="10055" width="0" style="119" hidden="1" customWidth="1"/>
    <col min="10056" max="10056" width="2" style="119" customWidth="1"/>
    <col min="10057" max="10057" width="9.28515625" style="119" customWidth="1"/>
    <col min="10058" max="10058" width="13.7109375" style="119" customWidth="1"/>
    <col min="10059" max="10059" width="41.42578125" style="119" customWidth="1"/>
    <col min="10060" max="10061" width="12.5703125" style="119"/>
    <col min="10062" max="10062" width="13.85546875" style="119" customWidth="1"/>
    <col min="10063" max="10224" width="12.5703125" style="119"/>
    <col min="10225" max="10225" width="2" style="119" customWidth="1"/>
    <col min="10226" max="10226" width="31.85546875" style="119" customWidth="1"/>
    <col min="10227" max="10227" width="10" style="119" bestFit="1" customWidth="1"/>
    <col min="10228" max="10228" width="8.140625" style="119" customWidth="1"/>
    <col min="10229" max="10229" width="8.42578125" style="119" bestFit="1" customWidth="1"/>
    <col min="10230" max="10230" width="8" style="119" customWidth="1"/>
    <col min="10231" max="10234" width="0" style="119" hidden="1" customWidth="1"/>
    <col min="10235" max="10236" width="7.85546875" style="119" bestFit="1" customWidth="1"/>
    <col min="10237" max="10237" width="8.7109375" style="119" bestFit="1" customWidth="1"/>
    <col min="10238" max="10238" width="7.42578125" style="119" customWidth="1"/>
    <col min="10239" max="10239" width="6.28515625" style="119" customWidth="1"/>
    <col min="10240" max="10277" width="0" style="119" hidden="1" customWidth="1"/>
    <col min="10278" max="10278" width="15.42578125" style="119" bestFit="1" customWidth="1"/>
    <col min="10279" max="10280" width="15.28515625" style="119" customWidth="1"/>
    <col min="10281" max="10281" width="18" style="119" customWidth="1"/>
    <col min="10282" max="10282" width="14" style="119" customWidth="1"/>
    <col min="10283" max="10283" width="13.42578125" style="119" customWidth="1"/>
    <col min="10284" max="10284" width="15" style="119" customWidth="1"/>
    <col min="10285" max="10285" width="15.28515625" style="119" customWidth="1"/>
    <col min="10286" max="10286" width="14" style="119" customWidth="1"/>
    <col min="10287" max="10288" width="12.140625" style="119" customWidth="1"/>
    <col min="10289" max="10289" width="16.140625" style="119" customWidth="1"/>
    <col min="10290" max="10290" width="14.140625" style="119" customWidth="1"/>
    <col min="10291" max="10291" width="14.42578125" style="119" customWidth="1"/>
    <col min="10292" max="10292" width="12.5703125" style="119"/>
    <col min="10293" max="10293" width="8.85546875" style="119" customWidth="1"/>
    <col min="10294" max="10295" width="14" style="119" customWidth="1"/>
    <col min="10296" max="10296" width="13.85546875" style="119" customWidth="1"/>
    <col min="10297" max="10297" width="13.140625" style="119" customWidth="1"/>
    <col min="10298" max="10298" width="14.42578125" style="119" customWidth="1"/>
    <col min="10299" max="10299" width="17.5703125" style="119" customWidth="1"/>
    <col min="10300" max="10300" width="17.28515625" style="119" customWidth="1"/>
    <col min="10301" max="10301" width="15.140625" style="119" bestFit="1" customWidth="1"/>
    <col min="10302" max="10302" width="14.140625" style="119" bestFit="1" customWidth="1"/>
    <col min="10303" max="10303" width="13.85546875" style="119" customWidth="1"/>
    <col min="10304" max="10304" width="12.85546875" style="119" bestFit="1" customWidth="1"/>
    <col min="10305" max="10305" width="9.85546875" style="119" customWidth="1"/>
    <col min="10306" max="10306" width="13" style="119" customWidth="1"/>
    <col min="10307" max="10307" width="11.28515625" style="119" customWidth="1"/>
    <col min="10308" max="10308" width="14.7109375" style="119" bestFit="1" customWidth="1"/>
    <col min="10309" max="10311" width="0" style="119" hidden="1" customWidth="1"/>
    <col min="10312" max="10312" width="2" style="119" customWidth="1"/>
    <col min="10313" max="10313" width="9.28515625" style="119" customWidth="1"/>
    <col min="10314" max="10314" width="13.7109375" style="119" customWidth="1"/>
    <col min="10315" max="10315" width="41.42578125" style="119" customWidth="1"/>
    <col min="10316" max="10317" width="12.5703125" style="119"/>
    <col min="10318" max="10318" width="13.85546875" style="119" customWidth="1"/>
    <col min="10319" max="10480" width="12.5703125" style="119"/>
    <col min="10481" max="10481" width="2" style="119" customWidth="1"/>
    <col min="10482" max="10482" width="31.85546875" style="119" customWidth="1"/>
    <col min="10483" max="10483" width="10" style="119" bestFit="1" customWidth="1"/>
    <col min="10484" max="10484" width="8.140625" style="119" customWidth="1"/>
    <col min="10485" max="10485" width="8.42578125" style="119" bestFit="1" customWidth="1"/>
    <col min="10486" max="10486" width="8" style="119" customWidth="1"/>
    <col min="10487" max="10490" width="0" style="119" hidden="1" customWidth="1"/>
    <col min="10491" max="10492" width="7.85546875" style="119" bestFit="1" customWidth="1"/>
    <col min="10493" max="10493" width="8.7109375" style="119" bestFit="1" customWidth="1"/>
    <col min="10494" max="10494" width="7.42578125" style="119" customWidth="1"/>
    <col min="10495" max="10495" width="6.28515625" style="119" customWidth="1"/>
    <col min="10496" max="10533" width="0" style="119" hidden="1" customWidth="1"/>
    <col min="10534" max="10534" width="15.42578125" style="119" bestFit="1" customWidth="1"/>
    <col min="10535" max="10536" width="15.28515625" style="119" customWidth="1"/>
    <col min="10537" max="10537" width="18" style="119" customWidth="1"/>
    <col min="10538" max="10538" width="14" style="119" customWidth="1"/>
    <col min="10539" max="10539" width="13.42578125" style="119" customWidth="1"/>
    <col min="10540" max="10540" width="15" style="119" customWidth="1"/>
    <col min="10541" max="10541" width="15.28515625" style="119" customWidth="1"/>
    <col min="10542" max="10542" width="14" style="119" customWidth="1"/>
    <col min="10543" max="10544" width="12.140625" style="119" customWidth="1"/>
    <col min="10545" max="10545" width="16.140625" style="119" customWidth="1"/>
    <col min="10546" max="10546" width="14.140625" style="119" customWidth="1"/>
    <col min="10547" max="10547" width="14.42578125" style="119" customWidth="1"/>
    <col min="10548" max="10548" width="12.5703125" style="119"/>
    <col min="10549" max="10549" width="8.85546875" style="119" customWidth="1"/>
    <col min="10550" max="10551" width="14" style="119" customWidth="1"/>
    <col min="10552" max="10552" width="13.85546875" style="119" customWidth="1"/>
    <col min="10553" max="10553" width="13.140625" style="119" customWidth="1"/>
    <col min="10554" max="10554" width="14.42578125" style="119" customWidth="1"/>
    <col min="10555" max="10555" width="17.5703125" style="119" customWidth="1"/>
    <col min="10556" max="10556" width="17.28515625" style="119" customWidth="1"/>
    <col min="10557" max="10557" width="15.140625" style="119" bestFit="1" customWidth="1"/>
    <col min="10558" max="10558" width="14.140625" style="119" bestFit="1" customWidth="1"/>
    <col min="10559" max="10559" width="13.85546875" style="119" customWidth="1"/>
    <col min="10560" max="10560" width="12.85546875" style="119" bestFit="1" customWidth="1"/>
    <col min="10561" max="10561" width="9.85546875" style="119" customWidth="1"/>
    <col min="10562" max="10562" width="13" style="119" customWidth="1"/>
    <col min="10563" max="10563" width="11.28515625" style="119" customWidth="1"/>
    <col min="10564" max="10564" width="14.7109375" style="119" bestFit="1" customWidth="1"/>
    <col min="10565" max="10567" width="0" style="119" hidden="1" customWidth="1"/>
    <col min="10568" max="10568" width="2" style="119" customWidth="1"/>
    <col min="10569" max="10569" width="9.28515625" style="119" customWidth="1"/>
    <col min="10570" max="10570" width="13.7109375" style="119" customWidth="1"/>
    <col min="10571" max="10571" width="41.42578125" style="119" customWidth="1"/>
    <col min="10572" max="10573" width="12.5703125" style="119"/>
    <col min="10574" max="10574" width="13.85546875" style="119" customWidth="1"/>
    <col min="10575" max="10736" width="12.5703125" style="119"/>
    <col min="10737" max="10737" width="2" style="119" customWidth="1"/>
    <col min="10738" max="10738" width="31.85546875" style="119" customWidth="1"/>
    <col min="10739" max="10739" width="10" style="119" bestFit="1" customWidth="1"/>
    <col min="10740" max="10740" width="8.140625" style="119" customWidth="1"/>
    <col min="10741" max="10741" width="8.42578125" style="119" bestFit="1" customWidth="1"/>
    <col min="10742" max="10742" width="8" style="119" customWidth="1"/>
    <col min="10743" max="10746" width="0" style="119" hidden="1" customWidth="1"/>
    <col min="10747" max="10748" width="7.85546875" style="119" bestFit="1" customWidth="1"/>
    <col min="10749" max="10749" width="8.7109375" style="119" bestFit="1" customWidth="1"/>
    <col min="10750" max="10750" width="7.42578125" style="119" customWidth="1"/>
    <col min="10751" max="10751" width="6.28515625" style="119" customWidth="1"/>
    <col min="10752" max="10789" width="0" style="119" hidden="1" customWidth="1"/>
    <col min="10790" max="10790" width="15.42578125" style="119" bestFit="1" customWidth="1"/>
    <col min="10791" max="10792" width="15.28515625" style="119" customWidth="1"/>
    <col min="10793" max="10793" width="18" style="119" customWidth="1"/>
    <col min="10794" max="10794" width="14" style="119" customWidth="1"/>
    <col min="10795" max="10795" width="13.42578125" style="119" customWidth="1"/>
    <col min="10796" max="10796" width="15" style="119" customWidth="1"/>
    <col min="10797" max="10797" width="15.28515625" style="119" customWidth="1"/>
    <col min="10798" max="10798" width="14" style="119" customWidth="1"/>
    <col min="10799" max="10800" width="12.140625" style="119" customWidth="1"/>
    <col min="10801" max="10801" width="16.140625" style="119" customWidth="1"/>
    <col min="10802" max="10802" width="14.140625" style="119" customWidth="1"/>
    <col min="10803" max="10803" width="14.42578125" style="119" customWidth="1"/>
    <col min="10804" max="10804" width="12.5703125" style="119"/>
    <col min="10805" max="10805" width="8.85546875" style="119" customWidth="1"/>
    <col min="10806" max="10807" width="14" style="119" customWidth="1"/>
    <col min="10808" max="10808" width="13.85546875" style="119" customWidth="1"/>
    <col min="10809" max="10809" width="13.140625" style="119" customWidth="1"/>
    <col min="10810" max="10810" width="14.42578125" style="119" customWidth="1"/>
    <col min="10811" max="10811" width="17.5703125" style="119" customWidth="1"/>
    <col min="10812" max="10812" width="17.28515625" style="119" customWidth="1"/>
    <col min="10813" max="10813" width="15.140625" style="119" bestFit="1" customWidth="1"/>
    <col min="10814" max="10814" width="14.140625" style="119" bestFit="1" customWidth="1"/>
    <col min="10815" max="10815" width="13.85546875" style="119" customWidth="1"/>
    <col min="10816" max="10816" width="12.85546875" style="119" bestFit="1" customWidth="1"/>
    <col min="10817" max="10817" width="9.85546875" style="119" customWidth="1"/>
    <col min="10818" max="10818" width="13" style="119" customWidth="1"/>
    <col min="10819" max="10819" width="11.28515625" style="119" customWidth="1"/>
    <col min="10820" max="10820" width="14.7109375" style="119" bestFit="1" customWidth="1"/>
    <col min="10821" max="10823" width="0" style="119" hidden="1" customWidth="1"/>
    <col min="10824" max="10824" width="2" style="119" customWidth="1"/>
    <col min="10825" max="10825" width="9.28515625" style="119" customWidth="1"/>
    <col min="10826" max="10826" width="13.7109375" style="119" customWidth="1"/>
    <col min="10827" max="10827" width="41.42578125" style="119" customWidth="1"/>
    <col min="10828" max="10829" width="12.5703125" style="119"/>
    <col min="10830" max="10830" width="13.85546875" style="119" customWidth="1"/>
    <col min="10831" max="10992" width="12.5703125" style="119"/>
    <col min="10993" max="10993" width="2" style="119" customWidth="1"/>
    <col min="10994" max="10994" width="31.85546875" style="119" customWidth="1"/>
    <col min="10995" max="10995" width="10" style="119" bestFit="1" customWidth="1"/>
    <col min="10996" max="10996" width="8.140625" style="119" customWidth="1"/>
    <col min="10997" max="10997" width="8.42578125" style="119" bestFit="1" customWidth="1"/>
    <col min="10998" max="10998" width="8" style="119" customWidth="1"/>
    <col min="10999" max="11002" width="0" style="119" hidden="1" customWidth="1"/>
    <col min="11003" max="11004" width="7.85546875" style="119" bestFit="1" customWidth="1"/>
    <col min="11005" max="11005" width="8.7109375" style="119" bestFit="1" customWidth="1"/>
    <col min="11006" max="11006" width="7.42578125" style="119" customWidth="1"/>
    <col min="11007" max="11007" width="6.28515625" style="119" customWidth="1"/>
    <col min="11008" max="11045" width="0" style="119" hidden="1" customWidth="1"/>
    <col min="11046" max="11046" width="15.42578125" style="119" bestFit="1" customWidth="1"/>
    <col min="11047" max="11048" width="15.28515625" style="119" customWidth="1"/>
    <col min="11049" max="11049" width="18" style="119" customWidth="1"/>
    <col min="11050" max="11050" width="14" style="119" customWidth="1"/>
    <col min="11051" max="11051" width="13.42578125" style="119" customWidth="1"/>
    <col min="11052" max="11052" width="15" style="119" customWidth="1"/>
    <col min="11053" max="11053" width="15.28515625" style="119" customWidth="1"/>
    <col min="11054" max="11054" width="14" style="119" customWidth="1"/>
    <col min="11055" max="11056" width="12.140625" style="119" customWidth="1"/>
    <col min="11057" max="11057" width="16.140625" style="119" customWidth="1"/>
    <col min="11058" max="11058" width="14.140625" style="119" customWidth="1"/>
    <col min="11059" max="11059" width="14.42578125" style="119" customWidth="1"/>
    <col min="11060" max="11060" width="12.5703125" style="119"/>
    <col min="11061" max="11061" width="8.85546875" style="119" customWidth="1"/>
    <col min="11062" max="11063" width="14" style="119" customWidth="1"/>
    <col min="11064" max="11064" width="13.85546875" style="119" customWidth="1"/>
    <col min="11065" max="11065" width="13.140625" style="119" customWidth="1"/>
    <col min="11066" max="11066" width="14.42578125" style="119" customWidth="1"/>
    <col min="11067" max="11067" width="17.5703125" style="119" customWidth="1"/>
    <col min="11068" max="11068" width="17.28515625" style="119" customWidth="1"/>
    <col min="11069" max="11069" width="15.140625" style="119" bestFit="1" customWidth="1"/>
    <col min="11070" max="11070" width="14.140625" style="119" bestFit="1" customWidth="1"/>
    <col min="11071" max="11071" width="13.85546875" style="119" customWidth="1"/>
    <col min="11072" max="11072" width="12.85546875" style="119" bestFit="1" customWidth="1"/>
    <col min="11073" max="11073" width="9.85546875" style="119" customWidth="1"/>
    <col min="11074" max="11074" width="13" style="119" customWidth="1"/>
    <col min="11075" max="11075" width="11.28515625" style="119" customWidth="1"/>
    <col min="11076" max="11076" width="14.7109375" style="119" bestFit="1" customWidth="1"/>
    <col min="11077" max="11079" width="0" style="119" hidden="1" customWidth="1"/>
    <col min="11080" max="11080" width="2" style="119" customWidth="1"/>
    <col min="11081" max="11081" width="9.28515625" style="119" customWidth="1"/>
    <col min="11082" max="11082" width="13.7109375" style="119" customWidth="1"/>
    <col min="11083" max="11083" width="41.42578125" style="119" customWidth="1"/>
    <col min="11084" max="11085" width="12.5703125" style="119"/>
    <col min="11086" max="11086" width="13.85546875" style="119" customWidth="1"/>
    <col min="11087" max="11248" width="12.5703125" style="119"/>
    <col min="11249" max="11249" width="2" style="119" customWidth="1"/>
    <col min="11250" max="11250" width="31.85546875" style="119" customWidth="1"/>
    <col min="11251" max="11251" width="10" style="119" bestFit="1" customWidth="1"/>
    <col min="11252" max="11252" width="8.140625" style="119" customWidth="1"/>
    <col min="11253" max="11253" width="8.42578125" style="119" bestFit="1" customWidth="1"/>
    <col min="11254" max="11254" width="8" style="119" customWidth="1"/>
    <col min="11255" max="11258" width="0" style="119" hidden="1" customWidth="1"/>
    <col min="11259" max="11260" width="7.85546875" style="119" bestFit="1" customWidth="1"/>
    <col min="11261" max="11261" width="8.7109375" style="119" bestFit="1" customWidth="1"/>
    <col min="11262" max="11262" width="7.42578125" style="119" customWidth="1"/>
    <col min="11263" max="11263" width="6.28515625" style="119" customWidth="1"/>
    <col min="11264" max="11301" width="0" style="119" hidden="1" customWidth="1"/>
    <col min="11302" max="11302" width="15.42578125" style="119" bestFit="1" customWidth="1"/>
    <col min="11303" max="11304" width="15.28515625" style="119" customWidth="1"/>
    <col min="11305" max="11305" width="18" style="119" customWidth="1"/>
    <col min="11306" max="11306" width="14" style="119" customWidth="1"/>
    <col min="11307" max="11307" width="13.42578125" style="119" customWidth="1"/>
    <col min="11308" max="11308" width="15" style="119" customWidth="1"/>
    <col min="11309" max="11309" width="15.28515625" style="119" customWidth="1"/>
    <col min="11310" max="11310" width="14" style="119" customWidth="1"/>
    <col min="11311" max="11312" width="12.140625" style="119" customWidth="1"/>
    <col min="11313" max="11313" width="16.140625" style="119" customWidth="1"/>
    <col min="11314" max="11314" width="14.140625" style="119" customWidth="1"/>
    <col min="11315" max="11315" width="14.42578125" style="119" customWidth="1"/>
    <col min="11316" max="11316" width="12.5703125" style="119"/>
    <col min="11317" max="11317" width="8.85546875" style="119" customWidth="1"/>
    <col min="11318" max="11319" width="14" style="119" customWidth="1"/>
    <col min="11320" max="11320" width="13.85546875" style="119" customWidth="1"/>
    <col min="11321" max="11321" width="13.140625" style="119" customWidth="1"/>
    <col min="11322" max="11322" width="14.42578125" style="119" customWidth="1"/>
    <col min="11323" max="11323" width="17.5703125" style="119" customWidth="1"/>
    <col min="11324" max="11324" width="17.28515625" style="119" customWidth="1"/>
    <col min="11325" max="11325" width="15.140625" style="119" bestFit="1" customWidth="1"/>
    <col min="11326" max="11326" width="14.140625" style="119" bestFit="1" customWidth="1"/>
    <col min="11327" max="11327" width="13.85546875" style="119" customWidth="1"/>
    <col min="11328" max="11328" width="12.85546875" style="119" bestFit="1" customWidth="1"/>
    <col min="11329" max="11329" width="9.85546875" style="119" customWidth="1"/>
    <col min="11330" max="11330" width="13" style="119" customWidth="1"/>
    <col min="11331" max="11331" width="11.28515625" style="119" customWidth="1"/>
    <col min="11332" max="11332" width="14.7109375" style="119" bestFit="1" customWidth="1"/>
    <col min="11333" max="11335" width="0" style="119" hidden="1" customWidth="1"/>
    <col min="11336" max="11336" width="2" style="119" customWidth="1"/>
    <col min="11337" max="11337" width="9.28515625" style="119" customWidth="1"/>
    <col min="11338" max="11338" width="13.7109375" style="119" customWidth="1"/>
    <col min="11339" max="11339" width="41.42578125" style="119" customWidth="1"/>
    <col min="11340" max="11341" width="12.5703125" style="119"/>
    <col min="11342" max="11342" width="13.85546875" style="119" customWidth="1"/>
    <col min="11343" max="11504" width="12.5703125" style="119"/>
    <col min="11505" max="11505" width="2" style="119" customWidth="1"/>
    <col min="11506" max="11506" width="31.85546875" style="119" customWidth="1"/>
    <col min="11507" max="11507" width="10" style="119" bestFit="1" customWidth="1"/>
    <col min="11508" max="11508" width="8.140625" style="119" customWidth="1"/>
    <col min="11509" max="11509" width="8.42578125" style="119" bestFit="1" customWidth="1"/>
    <col min="11510" max="11510" width="8" style="119" customWidth="1"/>
    <col min="11511" max="11514" width="0" style="119" hidden="1" customWidth="1"/>
    <col min="11515" max="11516" width="7.85546875" style="119" bestFit="1" customWidth="1"/>
    <col min="11517" max="11517" width="8.7109375" style="119" bestFit="1" customWidth="1"/>
    <col min="11518" max="11518" width="7.42578125" style="119" customWidth="1"/>
    <col min="11519" max="11519" width="6.28515625" style="119" customWidth="1"/>
    <col min="11520" max="11557" width="0" style="119" hidden="1" customWidth="1"/>
    <col min="11558" max="11558" width="15.42578125" style="119" bestFit="1" customWidth="1"/>
    <col min="11559" max="11560" width="15.28515625" style="119" customWidth="1"/>
    <col min="11561" max="11561" width="18" style="119" customWidth="1"/>
    <col min="11562" max="11562" width="14" style="119" customWidth="1"/>
    <col min="11563" max="11563" width="13.42578125" style="119" customWidth="1"/>
    <col min="11564" max="11564" width="15" style="119" customWidth="1"/>
    <col min="11565" max="11565" width="15.28515625" style="119" customWidth="1"/>
    <col min="11566" max="11566" width="14" style="119" customWidth="1"/>
    <col min="11567" max="11568" width="12.140625" style="119" customWidth="1"/>
    <col min="11569" max="11569" width="16.140625" style="119" customWidth="1"/>
    <col min="11570" max="11570" width="14.140625" style="119" customWidth="1"/>
    <col min="11571" max="11571" width="14.42578125" style="119" customWidth="1"/>
    <col min="11572" max="11572" width="12.5703125" style="119"/>
    <col min="11573" max="11573" width="8.85546875" style="119" customWidth="1"/>
    <col min="11574" max="11575" width="14" style="119" customWidth="1"/>
    <col min="11576" max="11576" width="13.85546875" style="119" customWidth="1"/>
    <col min="11577" max="11577" width="13.140625" style="119" customWidth="1"/>
    <col min="11578" max="11578" width="14.42578125" style="119" customWidth="1"/>
    <col min="11579" max="11579" width="17.5703125" style="119" customWidth="1"/>
    <col min="11580" max="11580" width="17.28515625" style="119" customWidth="1"/>
    <col min="11581" max="11581" width="15.140625" style="119" bestFit="1" customWidth="1"/>
    <col min="11582" max="11582" width="14.140625" style="119" bestFit="1" customWidth="1"/>
    <col min="11583" max="11583" width="13.85546875" style="119" customWidth="1"/>
    <col min="11584" max="11584" width="12.85546875" style="119" bestFit="1" customWidth="1"/>
    <col min="11585" max="11585" width="9.85546875" style="119" customWidth="1"/>
    <col min="11586" max="11586" width="13" style="119" customWidth="1"/>
    <col min="11587" max="11587" width="11.28515625" style="119" customWidth="1"/>
    <col min="11588" max="11588" width="14.7109375" style="119" bestFit="1" customWidth="1"/>
    <col min="11589" max="11591" width="0" style="119" hidden="1" customWidth="1"/>
    <col min="11592" max="11592" width="2" style="119" customWidth="1"/>
    <col min="11593" max="11593" width="9.28515625" style="119" customWidth="1"/>
    <col min="11594" max="11594" width="13.7109375" style="119" customWidth="1"/>
    <col min="11595" max="11595" width="41.42578125" style="119" customWidth="1"/>
    <col min="11596" max="11597" width="12.5703125" style="119"/>
    <col min="11598" max="11598" width="13.85546875" style="119" customWidth="1"/>
    <col min="11599" max="11760" width="12.5703125" style="119"/>
    <col min="11761" max="11761" width="2" style="119" customWidth="1"/>
    <col min="11762" max="11762" width="31.85546875" style="119" customWidth="1"/>
    <col min="11763" max="11763" width="10" style="119" bestFit="1" customWidth="1"/>
    <col min="11764" max="11764" width="8.140625" style="119" customWidth="1"/>
    <col min="11765" max="11765" width="8.42578125" style="119" bestFit="1" customWidth="1"/>
    <col min="11766" max="11766" width="8" style="119" customWidth="1"/>
    <col min="11767" max="11770" width="0" style="119" hidden="1" customWidth="1"/>
    <col min="11771" max="11772" width="7.85546875" style="119" bestFit="1" customWidth="1"/>
    <col min="11773" max="11773" width="8.7109375" style="119" bestFit="1" customWidth="1"/>
    <col min="11774" max="11774" width="7.42578125" style="119" customWidth="1"/>
    <col min="11775" max="11775" width="6.28515625" style="119" customWidth="1"/>
    <col min="11776" max="11813" width="0" style="119" hidden="1" customWidth="1"/>
    <col min="11814" max="11814" width="15.42578125" style="119" bestFit="1" customWidth="1"/>
    <col min="11815" max="11816" width="15.28515625" style="119" customWidth="1"/>
    <col min="11817" max="11817" width="18" style="119" customWidth="1"/>
    <col min="11818" max="11818" width="14" style="119" customWidth="1"/>
    <col min="11819" max="11819" width="13.42578125" style="119" customWidth="1"/>
    <col min="11820" max="11820" width="15" style="119" customWidth="1"/>
    <col min="11821" max="11821" width="15.28515625" style="119" customWidth="1"/>
    <col min="11822" max="11822" width="14" style="119" customWidth="1"/>
    <col min="11823" max="11824" width="12.140625" style="119" customWidth="1"/>
    <col min="11825" max="11825" width="16.140625" style="119" customWidth="1"/>
    <col min="11826" max="11826" width="14.140625" style="119" customWidth="1"/>
    <col min="11827" max="11827" width="14.42578125" style="119" customWidth="1"/>
    <col min="11828" max="11828" width="12.5703125" style="119"/>
    <col min="11829" max="11829" width="8.85546875" style="119" customWidth="1"/>
    <col min="11830" max="11831" width="14" style="119" customWidth="1"/>
    <col min="11832" max="11832" width="13.85546875" style="119" customWidth="1"/>
    <col min="11833" max="11833" width="13.140625" style="119" customWidth="1"/>
    <col min="11834" max="11834" width="14.42578125" style="119" customWidth="1"/>
    <col min="11835" max="11835" width="17.5703125" style="119" customWidth="1"/>
    <col min="11836" max="11836" width="17.28515625" style="119" customWidth="1"/>
    <col min="11837" max="11837" width="15.140625" style="119" bestFit="1" customWidth="1"/>
    <col min="11838" max="11838" width="14.140625" style="119" bestFit="1" customWidth="1"/>
    <col min="11839" max="11839" width="13.85546875" style="119" customWidth="1"/>
    <col min="11840" max="11840" width="12.85546875" style="119" bestFit="1" customWidth="1"/>
    <col min="11841" max="11841" width="9.85546875" style="119" customWidth="1"/>
    <col min="11842" max="11842" width="13" style="119" customWidth="1"/>
    <col min="11843" max="11843" width="11.28515625" style="119" customWidth="1"/>
    <col min="11844" max="11844" width="14.7109375" style="119" bestFit="1" customWidth="1"/>
    <col min="11845" max="11847" width="0" style="119" hidden="1" customWidth="1"/>
    <col min="11848" max="11848" width="2" style="119" customWidth="1"/>
    <col min="11849" max="11849" width="9.28515625" style="119" customWidth="1"/>
    <col min="11850" max="11850" width="13.7109375" style="119" customWidth="1"/>
    <col min="11851" max="11851" width="41.42578125" style="119" customWidth="1"/>
    <col min="11852" max="11853" width="12.5703125" style="119"/>
    <col min="11854" max="11854" width="13.85546875" style="119" customWidth="1"/>
    <col min="11855" max="12016" width="12.5703125" style="119"/>
    <col min="12017" max="12017" width="2" style="119" customWidth="1"/>
    <col min="12018" max="12018" width="31.85546875" style="119" customWidth="1"/>
    <col min="12019" max="12019" width="10" style="119" bestFit="1" customWidth="1"/>
    <col min="12020" max="12020" width="8.140625" style="119" customWidth="1"/>
    <col min="12021" max="12021" width="8.42578125" style="119" bestFit="1" customWidth="1"/>
    <col min="12022" max="12022" width="8" style="119" customWidth="1"/>
    <col min="12023" max="12026" width="0" style="119" hidden="1" customWidth="1"/>
    <col min="12027" max="12028" width="7.85546875" style="119" bestFit="1" customWidth="1"/>
    <col min="12029" max="12029" width="8.7109375" style="119" bestFit="1" customWidth="1"/>
    <col min="12030" max="12030" width="7.42578125" style="119" customWidth="1"/>
    <col min="12031" max="12031" width="6.28515625" style="119" customWidth="1"/>
    <col min="12032" max="12069" width="0" style="119" hidden="1" customWidth="1"/>
    <col min="12070" max="12070" width="15.42578125" style="119" bestFit="1" customWidth="1"/>
    <col min="12071" max="12072" width="15.28515625" style="119" customWidth="1"/>
    <col min="12073" max="12073" width="18" style="119" customWidth="1"/>
    <col min="12074" max="12074" width="14" style="119" customWidth="1"/>
    <col min="12075" max="12075" width="13.42578125" style="119" customWidth="1"/>
    <col min="12076" max="12076" width="15" style="119" customWidth="1"/>
    <col min="12077" max="12077" width="15.28515625" style="119" customWidth="1"/>
    <col min="12078" max="12078" width="14" style="119" customWidth="1"/>
    <col min="12079" max="12080" width="12.140625" style="119" customWidth="1"/>
    <col min="12081" max="12081" width="16.140625" style="119" customWidth="1"/>
    <col min="12082" max="12082" width="14.140625" style="119" customWidth="1"/>
    <col min="12083" max="12083" width="14.42578125" style="119" customWidth="1"/>
    <col min="12084" max="12084" width="12.5703125" style="119"/>
    <col min="12085" max="12085" width="8.85546875" style="119" customWidth="1"/>
    <col min="12086" max="12087" width="14" style="119" customWidth="1"/>
    <col min="12088" max="12088" width="13.85546875" style="119" customWidth="1"/>
    <col min="12089" max="12089" width="13.140625" style="119" customWidth="1"/>
    <col min="12090" max="12090" width="14.42578125" style="119" customWidth="1"/>
    <col min="12091" max="12091" width="17.5703125" style="119" customWidth="1"/>
    <col min="12092" max="12092" width="17.28515625" style="119" customWidth="1"/>
    <col min="12093" max="12093" width="15.140625" style="119" bestFit="1" customWidth="1"/>
    <col min="12094" max="12094" width="14.140625" style="119" bestFit="1" customWidth="1"/>
    <col min="12095" max="12095" width="13.85546875" style="119" customWidth="1"/>
    <col min="12096" max="12096" width="12.85546875" style="119" bestFit="1" customWidth="1"/>
    <col min="12097" max="12097" width="9.85546875" style="119" customWidth="1"/>
    <col min="12098" max="12098" width="13" style="119" customWidth="1"/>
    <col min="12099" max="12099" width="11.28515625" style="119" customWidth="1"/>
    <col min="12100" max="12100" width="14.7109375" style="119" bestFit="1" customWidth="1"/>
    <col min="12101" max="12103" width="0" style="119" hidden="1" customWidth="1"/>
    <col min="12104" max="12104" width="2" style="119" customWidth="1"/>
    <col min="12105" max="12105" width="9.28515625" style="119" customWidth="1"/>
    <col min="12106" max="12106" width="13.7109375" style="119" customWidth="1"/>
    <col min="12107" max="12107" width="41.42578125" style="119" customWidth="1"/>
    <col min="12108" max="12109" width="12.5703125" style="119"/>
    <col min="12110" max="12110" width="13.85546875" style="119" customWidth="1"/>
    <col min="12111" max="12272" width="12.5703125" style="119"/>
    <col min="12273" max="12273" width="2" style="119" customWidth="1"/>
    <col min="12274" max="12274" width="31.85546875" style="119" customWidth="1"/>
    <col min="12275" max="12275" width="10" style="119" bestFit="1" customWidth="1"/>
    <col min="12276" max="12276" width="8.140625" style="119" customWidth="1"/>
    <col min="12277" max="12277" width="8.42578125" style="119" bestFit="1" customWidth="1"/>
    <col min="12278" max="12278" width="8" style="119" customWidth="1"/>
    <col min="12279" max="12282" width="0" style="119" hidden="1" customWidth="1"/>
    <col min="12283" max="12284" width="7.85546875" style="119" bestFit="1" customWidth="1"/>
    <col min="12285" max="12285" width="8.7109375" style="119" bestFit="1" customWidth="1"/>
    <col min="12286" max="12286" width="7.42578125" style="119" customWidth="1"/>
    <col min="12287" max="12287" width="6.28515625" style="119" customWidth="1"/>
    <col min="12288" max="12325" width="0" style="119" hidden="1" customWidth="1"/>
    <col min="12326" max="12326" width="15.42578125" style="119" bestFit="1" customWidth="1"/>
    <col min="12327" max="12328" width="15.28515625" style="119" customWidth="1"/>
    <col min="12329" max="12329" width="18" style="119" customWidth="1"/>
    <col min="12330" max="12330" width="14" style="119" customWidth="1"/>
    <col min="12331" max="12331" width="13.42578125" style="119" customWidth="1"/>
    <col min="12332" max="12332" width="15" style="119" customWidth="1"/>
    <col min="12333" max="12333" width="15.28515625" style="119" customWidth="1"/>
    <col min="12334" max="12334" width="14" style="119" customWidth="1"/>
    <col min="12335" max="12336" width="12.140625" style="119" customWidth="1"/>
    <col min="12337" max="12337" width="16.140625" style="119" customWidth="1"/>
    <col min="12338" max="12338" width="14.140625" style="119" customWidth="1"/>
    <col min="12339" max="12339" width="14.42578125" style="119" customWidth="1"/>
    <col min="12340" max="12340" width="12.5703125" style="119"/>
    <col min="12341" max="12341" width="8.85546875" style="119" customWidth="1"/>
    <col min="12342" max="12343" width="14" style="119" customWidth="1"/>
    <col min="12344" max="12344" width="13.85546875" style="119" customWidth="1"/>
    <col min="12345" max="12345" width="13.140625" style="119" customWidth="1"/>
    <col min="12346" max="12346" width="14.42578125" style="119" customWidth="1"/>
    <col min="12347" max="12347" width="17.5703125" style="119" customWidth="1"/>
    <col min="12348" max="12348" width="17.28515625" style="119" customWidth="1"/>
    <col min="12349" max="12349" width="15.140625" style="119" bestFit="1" customWidth="1"/>
    <col min="12350" max="12350" width="14.140625" style="119" bestFit="1" customWidth="1"/>
    <col min="12351" max="12351" width="13.85546875" style="119" customWidth="1"/>
    <col min="12352" max="12352" width="12.85546875" style="119" bestFit="1" customWidth="1"/>
    <col min="12353" max="12353" width="9.85546875" style="119" customWidth="1"/>
    <col min="12354" max="12354" width="13" style="119" customWidth="1"/>
    <col min="12355" max="12355" width="11.28515625" style="119" customWidth="1"/>
    <col min="12356" max="12356" width="14.7109375" style="119" bestFit="1" customWidth="1"/>
    <col min="12357" max="12359" width="0" style="119" hidden="1" customWidth="1"/>
    <col min="12360" max="12360" width="2" style="119" customWidth="1"/>
    <col min="12361" max="12361" width="9.28515625" style="119" customWidth="1"/>
    <col min="12362" max="12362" width="13.7109375" style="119" customWidth="1"/>
    <col min="12363" max="12363" width="41.42578125" style="119" customWidth="1"/>
    <col min="12364" max="12365" width="12.5703125" style="119"/>
    <col min="12366" max="12366" width="13.85546875" style="119" customWidth="1"/>
    <col min="12367" max="12528" width="12.5703125" style="119"/>
    <col min="12529" max="12529" width="2" style="119" customWidth="1"/>
    <col min="12530" max="12530" width="31.85546875" style="119" customWidth="1"/>
    <col min="12531" max="12531" width="10" style="119" bestFit="1" customWidth="1"/>
    <col min="12532" max="12532" width="8.140625" style="119" customWidth="1"/>
    <col min="12533" max="12533" width="8.42578125" style="119" bestFit="1" customWidth="1"/>
    <col min="12534" max="12534" width="8" style="119" customWidth="1"/>
    <col min="12535" max="12538" width="0" style="119" hidden="1" customWidth="1"/>
    <col min="12539" max="12540" width="7.85546875" style="119" bestFit="1" customWidth="1"/>
    <col min="12541" max="12541" width="8.7109375" style="119" bestFit="1" customWidth="1"/>
    <col min="12542" max="12542" width="7.42578125" style="119" customWidth="1"/>
    <col min="12543" max="12543" width="6.28515625" style="119" customWidth="1"/>
    <col min="12544" max="12581" width="0" style="119" hidden="1" customWidth="1"/>
    <col min="12582" max="12582" width="15.42578125" style="119" bestFit="1" customWidth="1"/>
    <col min="12583" max="12584" width="15.28515625" style="119" customWidth="1"/>
    <col min="12585" max="12585" width="18" style="119" customWidth="1"/>
    <col min="12586" max="12586" width="14" style="119" customWidth="1"/>
    <col min="12587" max="12587" width="13.42578125" style="119" customWidth="1"/>
    <col min="12588" max="12588" width="15" style="119" customWidth="1"/>
    <col min="12589" max="12589" width="15.28515625" style="119" customWidth="1"/>
    <col min="12590" max="12590" width="14" style="119" customWidth="1"/>
    <col min="12591" max="12592" width="12.140625" style="119" customWidth="1"/>
    <col min="12593" max="12593" width="16.140625" style="119" customWidth="1"/>
    <col min="12594" max="12594" width="14.140625" style="119" customWidth="1"/>
    <col min="12595" max="12595" width="14.42578125" style="119" customWidth="1"/>
    <col min="12596" max="12596" width="12.5703125" style="119"/>
    <col min="12597" max="12597" width="8.85546875" style="119" customWidth="1"/>
    <col min="12598" max="12599" width="14" style="119" customWidth="1"/>
    <col min="12600" max="12600" width="13.85546875" style="119" customWidth="1"/>
    <col min="12601" max="12601" width="13.140625" style="119" customWidth="1"/>
    <col min="12602" max="12602" width="14.42578125" style="119" customWidth="1"/>
    <col min="12603" max="12603" width="17.5703125" style="119" customWidth="1"/>
    <col min="12604" max="12604" width="17.28515625" style="119" customWidth="1"/>
    <col min="12605" max="12605" width="15.140625" style="119" bestFit="1" customWidth="1"/>
    <col min="12606" max="12606" width="14.140625" style="119" bestFit="1" customWidth="1"/>
    <col min="12607" max="12607" width="13.85546875" style="119" customWidth="1"/>
    <col min="12608" max="12608" width="12.85546875" style="119" bestFit="1" customWidth="1"/>
    <col min="12609" max="12609" width="9.85546875" style="119" customWidth="1"/>
    <col min="12610" max="12610" width="13" style="119" customWidth="1"/>
    <col min="12611" max="12611" width="11.28515625" style="119" customWidth="1"/>
    <col min="12612" max="12612" width="14.7109375" style="119" bestFit="1" customWidth="1"/>
    <col min="12613" max="12615" width="0" style="119" hidden="1" customWidth="1"/>
    <col min="12616" max="12616" width="2" style="119" customWidth="1"/>
    <col min="12617" max="12617" width="9.28515625" style="119" customWidth="1"/>
    <col min="12618" max="12618" width="13.7109375" style="119" customWidth="1"/>
    <col min="12619" max="12619" width="41.42578125" style="119" customWidth="1"/>
    <col min="12620" max="12621" width="12.5703125" style="119"/>
    <col min="12622" max="12622" width="13.85546875" style="119" customWidth="1"/>
    <col min="12623" max="12784" width="12.5703125" style="119"/>
    <col min="12785" max="12785" width="2" style="119" customWidth="1"/>
    <col min="12786" max="12786" width="31.85546875" style="119" customWidth="1"/>
    <col min="12787" max="12787" width="10" style="119" bestFit="1" customWidth="1"/>
    <col min="12788" max="12788" width="8.140625" style="119" customWidth="1"/>
    <col min="12789" max="12789" width="8.42578125" style="119" bestFit="1" customWidth="1"/>
    <col min="12790" max="12790" width="8" style="119" customWidth="1"/>
    <col min="12791" max="12794" width="0" style="119" hidden="1" customWidth="1"/>
    <col min="12795" max="12796" width="7.85546875" style="119" bestFit="1" customWidth="1"/>
    <col min="12797" max="12797" width="8.7109375" style="119" bestFit="1" customWidth="1"/>
    <col min="12798" max="12798" width="7.42578125" style="119" customWidth="1"/>
    <col min="12799" max="12799" width="6.28515625" style="119" customWidth="1"/>
    <col min="12800" max="12837" width="0" style="119" hidden="1" customWidth="1"/>
    <col min="12838" max="12838" width="15.42578125" style="119" bestFit="1" customWidth="1"/>
    <col min="12839" max="12840" width="15.28515625" style="119" customWidth="1"/>
    <col min="12841" max="12841" width="18" style="119" customWidth="1"/>
    <col min="12842" max="12842" width="14" style="119" customWidth="1"/>
    <col min="12843" max="12843" width="13.42578125" style="119" customWidth="1"/>
    <col min="12844" max="12844" width="15" style="119" customWidth="1"/>
    <col min="12845" max="12845" width="15.28515625" style="119" customWidth="1"/>
    <col min="12846" max="12846" width="14" style="119" customWidth="1"/>
    <col min="12847" max="12848" width="12.140625" style="119" customWidth="1"/>
    <col min="12849" max="12849" width="16.140625" style="119" customWidth="1"/>
    <col min="12850" max="12850" width="14.140625" style="119" customWidth="1"/>
    <col min="12851" max="12851" width="14.42578125" style="119" customWidth="1"/>
    <col min="12852" max="12852" width="12.5703125" style="119"/>
    <col min="12853" max="12853" width="8.85546875" style="119" customWidth="1"/>
    <col min="12854" max="12855" width="14" style="119" customWidth="1"/>
    <col min="12856" max="12856" width="13.85546875" style="119" customWidth="1"/>
    <col min="12857" max="12857" width="13.140625" style="119" customWidth="1"/>
    <col min="12858" max="12858" width="14.42578125" style="119" customWidth="1"/>
    <col min="12859" max="12859" width="17.5703125" style="119" customWidth="1"/>
    <col min="12860" max="12860" width="17.28515625" style="119" customWidth="1"/>
    <col min="12861" max="12861" width="15.140625" style="119" bestFit="1" customWidth="1"/>
    <col min="12862" max="12862" width="14.140625" style="119" bestFit="1" customWidth="1"/>
    <col min="12863" max="12863" width="13.85546875" style="119" customWidth="1"/>
    <col min="12864" max="12864" width="12.85546875" style="119" bestFit="1" customWidth="1"/>
    <col min="12865" max="12865" width="9.85546875" style="119" customWidth="1"/>
    <col min="12866" max="12866" width="13" style="119" customWidth="1"/>
    <col min="12867" max="12867" width="11.28515625" style="119" customWidth="1"/>
    <col min="12868" max="12868" width="14.7109375" style="119" bestFit="1" customWidth="1"/>
    <col min="12869" max="12871" width="0" style="119" hidden="1" customWidth="1"/>
    <col min="12872" max="12872" width="2" style="119" customWidth="1"/>
    <col min="12873" max="12873" width="9.28515625" style="119" customWidth="1"/>
    <col min="12874" max="12874" width="13.7109375" style="119" customWidth="1"/>
    <col min="12875" max="12875" width="41.42578125" style="119" customWidth="1"/>
    <col min="12876" max="12877" width="12.5703125" style="119"/>
    <col min="12878" max="12878" width="13.85546875" style="119" customWidth="1"/>
    <col min="12879" max="13040" width="12.5703125" style="119"/>
    <col min="13041" max="13041" width="2" style="119" customWidth="1"/>
    <col min="13042" max="13042" width="31.85546875" style="119" customWidth="1"/>
    <col min="13043" max="13043" width="10" style="119" bestFit="1" customWidth="1"/>
    <col min="13044" max="13044" width="8.140625" style="119" customWidth="1"/>
    <col min="13045" max="13045" width="8.42578125" style="119" bestFit="1" customWidth="1"/>
    <col min="13046" max="13046" width="8" style="119" customWidth="1"/>
    <col min="13047" max="13050" width="0" style="119" hidden="1" customWidth="1"/>
    <col min="13051" max="13052" width="7.85546875" style="119" bestFit="1" customWidth="1"/>
    <col min="13053" max="13053" width="8.7109375" style="119" bestFit="1" customWidth="1"/>
    <col min="13054" max="13054" width="7.42578125" style="119" customWidth="1"/>
    <col min="13055" max="13055" width="6.28515625" style="119" customWidth="1"/>
    <col min="13056" max="13093" width="0" style="119" hidden="1" customWidth="1"/>
    <col min="13094" max="13094" width="15.42578125" style="119" bestFit="1" customWidth="1"/>
    <col min="13095" max="13096" width="15.28515625" style="119" customWidth="1"/>
    <col min="13097" max="13097" width="18" style="119" customWidth="1"/>
    <col min="13098" max="13098" width="14" style="119" customWidth="1"/>
    <col min="13099" max="13099" width="13.42578125" style="119" customWidth="1"/>
    <col min="13100" max="13100" width="15" style="119" customWidth="1"/>
    <col min="13101" max="13101" width="15.28515625" style="119" customWidth="1"/>
    <col min="13102" max="13102" width="14" style="119" customWidth="1"/>
    <col min="13103" max="13104" width="12.140625" style="119" customWidth="1"/>
    <col min="13105" max="13105" width="16.140625" style="119" customWidth="1"/>
    <col min="13106" max="13106" width="14.140625" style="119" customWidth="1"/>
    <col min="13107" max="13107" width="14.42578125" style="119" customWidth="1"/>
    <col min="13108" max="13108" width="12.5703125" style="119"/>
    <col min="13109" max="13109" width="8.85546875" style="119" customWidth="1"/>
    <col min="13110" max="13111" width="14" style="119" customWidth="1"/>
    <col min="13112" max="13112" width="13.85546875" style="119" customWidth="1"/>
    <col min="13113" max="13113" width="13.140625" style="119" customWidth="1"/>
    <col min="13114" max="13114" width="14.42578125" style="119" customWidth="1"/>
    <col min="13115" max="13115" width="17.5703125" style="119" customWidth="1"/>
    <col min="13116" max="13116" width="17.28515625" style="119" customWidth="1"/>
    <col min="13117" max="13117" width="15.140625" style="119" bestFit="1" customWidth="1"/>
    <col min="13118" max="13118" width="14.140625" style="119" bestFit="1" customWidth="1"/>
    <col min="13119" max="13119" width="13.85546875" style="119" customWidth="1"/>
    <col min="13120" max="13120" width="12.85546875" style="119" bestFit="1" customWidth="1"/>
    <col min="13121" max="13121" width="9.85546875" style="119" customWidth="1"/>
    <col min="13122" max="13122" width="13" style="119" customWidth="1"/>
    <col min="13123" max="13123" width="11.28515625" style="119" customWidth="1"/>
    <col min="13124" max="13124" width="14.7109375" style="119" bestFit="1" customWidth="1"/>
    <col min="13125" max="13127" width="0" style="119" hidden="1" customWidth="1"/>
    <col min="13128" max="13128" width="2" style="119" customWidth="1"/>
    <col min="13129" max="13129" width="9.28515625" style="119" customWidth="1"/>
    <col min="13130" max="13130" width="13.7109375" style="119" customWidth="1"/>
    <col min="13131" max="13131" width="41.42578125" style="119" customWidth="1"/>
    <col min="13132" max="13133" width="12.5703125" style="119"/>
    <col min="13134" max="13134" width="13.85546875" style="119" customWidth="1"/>
    <col min="13135" max="13296" width="12.5703125" style="119"/>
    <col min="13297" max="13297" width="2" style="119" customWidth="1"/>
    <col min="13298" max="13298" width="31.85546875" style="119" customWidth="1"/>
    <col min="13299" max="13299" width="10" style="119" bestFit="1" customWidth="1"/>
    <col min="13300" max="13300" width="8.140625" style="119" customWidth="1"/>
    <col min="13301" max="13301" width="8.42578125" style="119" bestFit="1" customWidth="1"/>
    <col min="13302" max="13302" width="8" style="119" customWidth="1"/>
    <col min="13303" max="13306" width="0" style="119" hidden="1" customWidth="1"/>
    <col min="13307" max="13308" width="7.85546875" style="119" bestFit="1" customWidth="1"/>
    <col min="13309" max="13309" width="8.7109375" style="119" bestFit="1" customWidth="1"/>
    <col min="13310" max="13310" width="7.42578125" style="119" customWidth="1"/>
    <col min="13311" max="13311" width="6.28515625" style="119" customWidth="1"/>
    <col min="13312" max="13349" width="0" style="119" hidden="1" customWidth="1"/>
    <col min="13350" max="13350" width="15.42578125" style="119" bestFit="1" customWidth="1"/>
    <col min="13351" max="13352" width="15.28515625" style="119" customWidth="1"/>
    <col min="13353" max="13353" width="18" style="119" customWidth="1"/>
    <col min="13354" max="13354" width="14" style="119" customWidth="1"/>
    <col min="13355" max="13355" width="13.42578125" style="119" customWidth="1"/>
    <col min="13356" max="13356" width="15" style="119" customWidth="1"/>
    <col min="13357" max="13357" width="15.28515625" style="119" customWidth="1"/>
    <col min="13358" max="13358" width="14" style="119" customWidth="1"/>
    <col min="13359" max="13360" width="12.140625" style="119" customWidth="1"/>
    <col min="13361" max="13361" width="16.140625" style="119" customWidth="1"/>
    <col min="13362" max="13362" width="14.140625" style="119" customWidth="1"/>
    <col min="13363" max="13363" width="14.42578125" style="119" customWidth="1"/>
    <col min="13364" max="13364" width="12.5703125" style="119"/>
    <col min="13365" max="13365" width="8.85546875" style="119" customWidth="1"/>
    <col min="13366" max="13367" width="14" style="119" customWidth="1"/>
    <col min="13368" max="13368" width="13.85546875" style="119" customWidth="1"/>
    <col min="13369" max="13369" width="13.140625" style="119" customWidth="1"/>
    <col min="13370" max="13370" width="14.42578125" style="119" customWidth="1"/>
    <col min="13371" max="13371" width="17.5703125" style="119" customWidth="1"/>
    <col min="13372" max="13372" width="17.28515625" style="119" customWidth="1"/>
    <col min="13373" max="13373" width="15.140625" style="119" bestFit="1" customWidth="1"/>
    <col min="13374" max="13374" width="14.140625" style="119" bestFit="1" customWidth="1"/>
    <col min="13375" max="13375" width="13.85546875" style="119" customWidth="1"/>
    <col min="13376" max="13376" width="12.85546875" style="119" bestFit="1" customWidth="1"/>
    <col min="13377" max="13377" width="9.85546875" style="119" customWidth="1"/>
    <col min="13378" max="13378" width="13" style="119" customWidth="1"/>
    <col min="13379" max="13379" width="11.28515625" style="119" customWidth="1"/>
    <col min="13380" max="13380" width="14.7109375" style="119" bestFit="1" customWidth="1"/>
    <col min="13381" max="13383" width="0" style="119" hidden="1" customWidth="1"/>
    <col min="13384" max="13384" width="2" style="119" customWidth="1"/>
    <col min="13385" max="13385" width="9.28515625" style="119" customWidth="1"/>
    <col min="13386" max="13386" width="13.7109375" style="119" customWidth="1"/>
    <col min="13387" max="13387" width="41.42578125" style="119" customWidth="1"/>
    <col min="13388" max="13389" width="12.5703125" style="119"/>
    <col min="13390" max="13390" width="13.85546875" style="119" customWidth="1"/>
    <col min="13391" max="13552" width="12.5703125" style="119"/>
    <col min="13553" max="13553" width="2" style="119" customWidth="1"/>
    <col min="13554" max="13554" width="31.85546875" style="119" customWidth="1"/>
    <col min="13555" max="13555" width="10" style="119" bestFit="1" customWidth="1"/>
    <col min="13556" max="13556" width="8.140625" style="119" customWidth="1"/>
    <col min="13557" max="13557" width="8.42578125" style="119" bestFit="1" customWidth="1"/>
    <col min="13558" max="13558" width="8" style="119" customWidth="1"/>
    <col min="13559" max="13562" width="0" style="119" hidden="1" customWidth="1"/>
    <col min="13563" max="13564" width="7.85546875" style="119" bestFit="1" customWidth="1"/>
    <col min="13565" max="13565" width="8.7109375" style="119" bestFit="1" customWidth="1"/>
    <col min="13566" max="13566" width="7.42578125" style="119" customWidth="1"/>
    <col min="13567" max="13567" width="6.28515625" style="119" customWidth="1"/>
    <col min="13568" max="13605" width="0" style="119" hidden="1" customWidth="1"/>
    <col min="13606" max="13606" width="15.42578125" style="119" bestFit="1" customWidth="1"/>
    <col min="13607" max="13608" width="15.28515625" style="119" customWidth="1"/>
    <col min="13609" max="13609" width="18" style="119" customWidth="1"/>
    <col min="13610" max="13610" width="14" style="119" customWidth="1"/>
    <col min="13611" max="13611" width="13.42578125" style="119" customWidth="1"/>
    <col min="13612" max="13612" width="15" style="119" customWidth="1"/>
    <col min="13613" max="13613" width="15.28515625" style="119" customWidth="1"/>
    <col min="13614" max="13614" width="14" style="119" customWidth="1"/>
    <col min="13615" max="13616" width="12.140625" style="119" customWidth="1"/>
    <col min="13617" max="13617" width="16.140625" style="119" customWidth="1"/>
    <col min="13618" max="13618" width="14.140625" style="119" customWidth="1"/>
    <col min="13619" max="13619" width="14.42578125" style="119" customWidth="1"/>
    <col min="13620" max="13620" width="12.5703125" style="119"/>
    <col min="13621" max="13621" width="8.85546875" style="119" customWidth="1"/>
    <col min="13622" max="13623" width="14" style="119" customWidth="1"/>
    <col min="13624" max="13624" width="13.85546875" style="119" customWidth="1"/>
    <col min="13625" max="13625" width="13.140625" style="119" customWidth="1"/>
    <col min="13626" max="13626" width="14.42578125" style="119" customWidth="1"/>
    <col min="13627" max="13627" width="17.5703125" style="119" customWidth="1"/>
    <col min="13628" max="13628" width="17.28515625" style="119" customWidth="1"/>
    <col min="13629" max="13629" width="15.140625" style="119" bestFit="1" customWidth="1"/>
    <col min="13630" max="13630" width="14.140625" style="119" bestFit="1" customWidth="1"/>
    <col min="13631" max="13631" width="13.85546875" style="119" customWidth="1"/>
    <col min="13632" max="13632" width="12.85546875" style="119" bestFit="1" customWidth="1"/>
    <col min="13633" max="13633" width="9.85546875" style="119" customWidth="1"/>
    <col min="13634" max="13634" width="13" style="119" customWidth="1"/>
    <col min="13635" max="13635" width="11.28515625" style="119" customWidth="1"/>
    <col min="13636" max="13636" width="14.7109375" style="119" bestFit="1" customWidth="1"/>
    <col min="13637" max="13639" width="0" style="119" hidden="1" customWidth="1"/>
    <col min="13640" max="13640" width="2" style="119" customWidth="1"/>
    <col min="13641" max="13641" width="9.28515625" style="119" customWidth="1"/>
    <col min="13642" max="13642" width="13.7109375" style="119" customWidth="1"/>
    <col min="13643" max="13643" width="41.42578125" style="119" customWidth="1"/>
    <col min="13644" max="13645" width="12.5703125" style="119"/>
    <col min="13646" max="13646" width="13.85546875" style="119" customWidth="1"/>
    <col min="13647" max="13808" width="12.5703125" style="119"/>
    <col min="13809" max="13809" width="2" style="119" customWidth="1"/>
    <col min="13810" max="13810" width="31.85546875" style="119" customWidth="1"/>
    <col min="13811" max="13811" width="10" style="119" bestFit="1" customWidth="1"/>
    <col min="13812" max="13812" width="8.140625" style="119" customWidth="1"/>
    <col min="13813" max="13813" width="8.42578125" style="119" bestFit="1" customWidth="1"/>
    <col min="13814" max="13814" width="8" style="119" customWidth="1"/>
    <col min="13815" max="13818" width="0" style="119" hidden="1" customWidth="1"/>
    <col min="13819" max="13820" width="7.85546875" style="119" bestFit="1" customWidth="1"/>
    <col min="13821" max="13821" width="8.7109375" style="119" bestFit="1" customWidth="1"/>
    <col min="13822" max="13822" width="7.42578125" style="119" customWidth="1"/>
    <col min="13823" max="13823" width="6.28515625" style="119" customWidth="1"/>
    <col min="13824" max="13861" width="0" style="119" hidden="1" customWidth="1"/>
    <col min="13862" max="13862" width="15.42578125" style="119" bestFit="1" customWidth="1"/>
    <col min="13863" max="13864" width="15.28515625" style="119" customWidth="1"/>
    <col min="13865" max="13865" width="18" style="119" customWidth="1"/>
    <col min="13866" max="13866" width="14" style="119" customWidth="1"/>
    <col min="13867" max="13867" width="13.42578125" style="119" customWidth="1"/>
    <col min="13868" max="13868" width="15" style="119" customWidth="1"/>
    <col min="13869" max="13869" width="15.28515625" style="119" customWidth="1"/>
    <col min="13870" max="13870" width="14" style="119" customWidth="1"/>
    <col min="13871" max="13872" width="12.140625" style="119" customWidth="1"/>
    <col min="13873" max="13873" width="16.140625" style="119" customWidth="1"/>
    <col min="13874" max="13874" width="14.140625" style="119" customWidth="1"/>
    <col min="13875" max="13875" width="14.42578125" style="119" customWidth="1"/>
    <col min="13876" max="13876" width="12.5703125" style="119"/>
    <col min="13877" max="13877" width="8.85546875" style="119" customWidth="1"/>
    <col min="13878" max="13879" width="14" style="119" customWidth="1"/>
    <col min="13880" max="13880" width="13.85546875" style="119" customWidth="1"/>
    <col min="13881" max="13881" width="13.140625" style="119" customWidth="1"/>
    <col min="13882" max="13882" width="14.42578125" style="119" customWidth="1"/>
    <col min="13883" max="13883" width="17.5703125" style="119" customWidth="1"/>
    <col min="13884" max="13884" width="17.28515625" style="119" customWidth="1"/>
    <col min="13885" max="13885" width="15.140625" style="119" bestFit="1" customWidth="1"/>
    <col min="13886" max="13886" width="14.140625" style="119" bestFit="1" customWidth="1"/>
    <col min="13887" max="13887" width="13.85546875" style="119" customWidth="1"/>
    <col min="13888" max="13888" width="12.85546875" style="119" bestFit="1" customWidth="1"/>
    <col min="13889" max="13889" width="9.85546875" style="119" customWidth="1"/>
    <col min="13890" max="13890" width="13" style="119" customWidth="1"/>
    <col min="13891" max="13891" width="11.28515625" style="119" customWidth="1"/>
    <col min="13892" max="13892" width="14.7109375" style="119" bestFit="1" customWidth="1"/>
    <col min="13893" max="13895" width="0" style="119" hidden="1" customWidth="1"/>
    <col min="13896" max="13896" width="2" style="119" customWidth="1"/>
    <col min="13897" max="13897" width="9.28515625" style="119" customWidth="1"/>
    <col min="13898" max="13898" width="13.7109375" style="119" customWidth="1"/>
    <col min="13899" max="13899" width="41.42578125" style="119" customWidth="1"/>
    <col min="13900" max="13901" width="12.5703125" style="119"/>
    <col min="13902" max="13902" width="13.85546875" style="119" customWidth="1"/>
    <col min="13903" max="14064" width="12.5703125" style="119"/>
    <col min="14065" max="14065" width="2" style="119" customWidth="1"/>
    <col min="14066" max="14066" width="31.85546875" style="119" customWidth="1"/>
    <col min="14067" max="14067" width="10" style="119" bestFit="1" customWidth="1"/>
    <col min="14068" max="14068" width="8.140625" style="119" customWidth="1"/>
    <col min="14069" max="14069" width="8.42578125" style="119" bestFit="1" customWidth="1"/>
    <col min="14070" max="14070" width="8" style="119" customWidth="1"/>
    <col min="14071" max="14074" width="0" style="119" hidden="1" customWidth="1"/>
    <col min="14075" max="14076" width="7.85546875" style="119" bestFit="1" customWidth="1"/>
    <col min="14077" max="14077" width="8.7109375" style="119" bestFit="1" customWidth="1"/>
    <col min="14078" max="14078" width="7.42578125" style="119" customWidth="1"/>
    <col min="14079" max="14079" width="6.28515625" style="119" customWidth="1"/>
    <col min="14080" max="14117" width="0" style="119" hidden="1" customWidth="1"/>
    <col min="14118" max="14118" width="15.42578125" style="119" bestFit="1" customWidth="1"/>
    <col min="14119" max="14120" width="15.28515625" style="119" customWidth="1"/>
    <col min="14121" max="14121" width="18" style="119" customWidth="1"/>
    <col min="14122" max="14122" width="14" style="119" customWidth="1"/>
    <col min="14123" max="14123" width="13.42578125" style="119" customWidth="1"/>
    <col min="14124" max="14124" width="15" style="119" customWidth="1"/>
    <col min="14125" max="14125" width="15.28515625" style="119" customWidth="1"/>
    <col min="14126" max="14126" width="14" style="119" customWidth="1"/>
    <col min="14127" max="14128" width="12.140625" style="119" customWidth="1"/>
    <col min="14129" max="14129" width="16.140625" style="119" customWidth="1"/>
    <col min="14130" max="14130" width="14.140625" style="119" customWidth="1"/>
    <col min="14131" max="14131" width="14.42578125" style="119" customWidth="1"/>
    <col min="14132" max="14132" width="12.5703125" style="119"/>
    <col min="14133" max="14133" width="8.85546875" style="119" customWidth="1"/>
    <col min="14134" max="14135" width="14" style="119" customWidth="1"/>
    <col min="14136" max="14136" width="13.85546875" style="119" customWidth="1"/>
    <col min="14137" max="14137" width="13.140625" style="119" customWidth="1"/>
    <col min="14138" max="14138" width="14.42578125" style="119" customWidth="1"/>
    <col min="14139" max="14139" width="17.5703125" style="119" customWidth="1"/>
    <col min="14140" max="14140" width="17.28515625" style="119" customWidth="1"/>
    <col min="14141" max="14141" width="15.140625" style="119" bestFit="1" customWidth="1"/>
    <col min="14142" max="14142" width="14.140625" style="119" bestFit="1" customWidth="1"/>
    <col min="14143" max="14143" width="13.85546875" style="119" customWidth="1"/>
    <col min="14144" max="14144" width="12.85546875" style="119" bestFit="1" customWidth="1"/>
    <col min="14145" max="14145" width="9.85546875" style="119" customWidth="1"/>
    <col min="14146" max="14146" width="13" style="119" customWidth="1"/>
    <col min="14147" max="14147" width="11.28515625" style="119" customWidth="1"/>
    <col min="14148" max="14148" width="14.7109375" style="119" bestFit="1" customWidth="1"/>
    <col min="14149" max="14151" width="0" style="119" hidden="1" customWidth="1"/>
    <col min="14152" max="14152" width="2" style="119" customWidth="1"/>
    <col min="14153" max="14153" width="9.28515625" style="119" customWidth="1"/>
    <col min="14154" max="14154" width="13.7109375" style="119" customWidth="1"/>
    <col min="14155" max="14155" width="41.42578125" style="119" customWidth="1"/>
    <col min="14156" max="14157" width="12.5703125" style="119"/>
    <col min="14158" max="14158" width="13.85546875" style="119" customWidth="1"/>
    <col min="14159" max="14320" width="12.5703125" style="119"/>
    <col min="14321" max="14321" width="2" style="119" customWidth="1"/>
    <col min="14322" max="14322" width="31.85546875" style="119" customWidth="1"/>
    <col min="14323" max="14323" width="10" style="119" bestFit="1" customWidth="1"/>
    <col min="14324" max="14324" width="8.140625" style="119" customWidth="1"/>
    <col min="14325" max="14325" width="8.42578125" style="119" bestFit="1" customWidth="1"/>
    <col min="14326" max="14326" width="8" style="119" customWidth="1"/>
    <col min="14327" max="14330" width="0" style="119" hidden="1" customWidth="1"/>
    <col min="14331" max="14332" width="7.85546875" style="119" bestFit="1" customWidth="1"/>
    <col min="14333" max="14333" width="8.7109375" style="119" bestFit="1" customWidth="1"/>
    <col min="14334" max="14334" width="7.42578125" style="119" customWidth="1"/>
    <col min="14335" max="14335" width="6.28515625" style="119" customWidth="1"/>
    <col min="14336" max="14373" width="0" style="119" hidden="1" customWidth="1"/>
    <col min="14374" max="14374" width="15.42578125" style="119" bestFit="1" customWidth="1"/>
    <col min="14375" max="14376" width="15.28515625" style="119" customWidth="1"/>
    <col min="14377" max="14377" width="18" style="119" customWidth="1"/>
    <col min="14378" max="14378" width="14" style="119" customWidth="1"/>
    <col min="14379" max="14379" width="13.42578125" style="119" customWidth="1"/>
    <col min="14380" max="14380" width="15" style="119" customWidth="1"/>
    <col min="14381" max="14381" width="15.28515625" style="119" customWidth="1"/>
    <col min="14382" max="14382" width="14" style="119" customWidth="1"/>
    <col min="14383" max="14384" width="12.140625" style="119" customWidth="1"/>
    <col min="14385" max="14385" width="16.140625" style="119" customWidth="1"/>
    <col min="14386" max="14386" width="14.140625" style="119" customWidth="1"/>
    <col min="14387" max="14387" width="14.42578125" style="119" customWidth="1"/>
    <col min="14388" max="14388" width="12.5703125" style="119"/>
    <col min="14389" max="14389" width="8.85546875" style="119" customWidth="1"/>
    <col min="14390" max="14391" width="14" style="119" customWidth="1"/>
    <col min="14392" max="14392" width="13.85546875" style="119" customWidth="1"/>
    <col min="14393" max="14393" width="13.140625" style="119" customWidth="1"/>
    <col min="14394" max="14394" width="14.42578125" style="119" customWidth="1"/>
    <col min="14395" max="14395" width="17.5703125" style="119" customWidth="1"/>
    <col min="14396" max="14396" width="17.28515625" style="119" customWidth="1"/>
    <col min="14397" max="14397" width="15.140625" style="119" bestFit="1" customWidth="1"/>
    <col min="14398" max="14398" width="14.140625" style="119" bestFit="1" customWidth="1"/>
    <col min="14399" max="14399" width="13.85546875" style="119" customWidth="1"/>
    <col min="14400" max="14400" width="12.85546875" style="119" bestFit="1" customWidth="1"/>
    <col min="14401" max="14401" width="9.85546875" style="119" customWidth="1"/>
    <col min="14402" max="14402" width="13" style="119" customWidth="1"/>
    <col min="14403" max="14403" width="11.28515625" style="119" customWidth="1"/>
    <col min="14404" max="14404" width="14.7109375" style="119" bestFit="1" customWidth="1"/>
    <col min="14405" max="14407" width="0" style="119" hidden="1" customWidth="1"/>
    <col min="14408" max="14408" width="2" style="119" customWidth="1"/>
    <col min="14409" max="14409" width="9.28515625" style="119" customWidth="1"/>
    <col min="14410" max="14410" width="13.7109375" style="119" customWidth="1"/>
    <col min="14411" max="14411" width="41.42578125" style="119" customWidth="1"/>
    <col min="14412" max="14413" width="12.5703125" style="119"/>
    <col min="14414" max="14414" width="13.85546875" style="119" customWidth="1"/>
    <col min="14415" max="14576" width="12.5703125" style="119"/>
    <col min="14577" max="14577" width="2" style="119" customWidth="1"/>
    <col min="14578" max="14578" width="31.85546875" style="119" customWidth="1"/>
    <col min="14579" max="14579" width="10" style="119" bestFit="1" customWidth="1"/>
    <col min="14580" max="14580" width="8.140625" style="119" customWidth="1"/>
    <col min="14581" max="14581" width="8.42578125" style="119" bestFit="1" customWidth="1"/>
    <col min="14582" max="14582" width="8" style="119" customWidth="1"/>
    <col min="14583" max="14586" width="0" style="119" hidden="1" customWidth="1"/>
    <col min="14587" max="14588" width="7.85546875" style="119" bestFit="1" customWidth="1"/>
    <col min="14589" max="14589" width="8.7109375" style="119" bestFit="1" customWidth="1"/>
    <col min="14590" max="14590" width="7.42578125" style="119" customWidth="1"/>
    <col min="14591" max="14591" width="6.28515625" style="119" customWidth="1"/>
    <col min="14592" max="14629" width="0" style="119" hidden="1" customWidth="1"/>
    <col min="14630" max="14630" width="15.42578125" style="119" bestFit="1" customWidth="1"/>
    <col min="14631" max="14632" width="15.28515625" style="119" customWidth="1"/>
    <col min="14633" max="14633" width="18" style="119" customWidth="1"/>
    <col min="14634" max="14634" width="14" style="119" customWidth="1"/>
    <col min="14635" max="14635" width="13.42578125" style="119" customWidth="1"/>
    <col min="14636" max="14636" width="15" style="119" customWidth="1"/>
    <col min="14637" max="14637" width="15.28515625" style="119" customWidth="1"/>
    <col min="14638" max="14638" width="14" style="119" customWidth="1"/>
    <col min="14639" max="14640" width="12.140625" style="119" customWidth="1"/>
    <col min="14641" max="14641" width="16.140625" style="119" customWidth="1"/>
    <col min="14642" max="14642" width="14.140625" style="119" customWidth="1"/>
    <col min="14643" max="14643" width="14.42578125" style="119" customWidth="1"/>
    <col min="14644" max="14644" width="12.5703125" style="119"/>
    <col min="14645" max="14645" width="8.85546875" style="119" customWidth="1"/>
    <col min="14646" max="14647" width="14" style="119" customWidth="1"/>
    <col min="14648" max="14648" width="13.85546875" style="119" customWidth="1"/>
    <col min="14649" max="14649" width="13.140625" style="119" customWidth="1"/>
    <col min="14650" max="14650" width="14.42578125" style="119" customWidth="1"/>
    <col min="14651" max="14651" width="17.5703125" style="119" customWidth="1"/>
    <col min="14652" max="14652" width="17.28515625" style="119" customWidth="1"/>
    <col min="14653" max="14653" width="15.140625" style="119" bestFit="1" customWidth="1"/>
    <col min="14654" max="14654" width="14.140625" style="119" bestFit="1" customWidth="1"/>
    <col min="14655" max="14655" width="13.85546875" style="119" customWidth="1"/>
    <col min="14656" max="14656" width="12.85546875" style="119" bestFit="1" customWidth="1"/>
    <col min="14657" max="14657" width="9.85546875" style="119" customWidth="1"/>
    <col min="14658" max="14658" width="13" style="119" customWidth="1"/>
    <col min="14659" max="14659" width="11.28515625" style="119" customWidth="1"/>
    <col min="14660" max="14660" width="14.7109375" style="119" bestFit="1" customWidth="1"/>
    <col min="14661" max="14663" width="0" style="119" hidden="1" customWidth="1"/>
    <col min="14664" max="14664" width="2" style="119" customWidth="1"/>
    <col min="14665" max="14665" width="9.28515625" style="119" customWidth="1"/>
    <col min="14666" max="14666" width="13.7109375" style="119" customWidth="1"/>
    <col min="14667" max="14667" width="41.42578125" style="119" customWidth="1"/>
    <col min="14668" max="14669" width="12.5703125" style="119"/>
    <col min="14670" max="14670" width="13.85546875" style="119" customWidth="1"/>
    <col min="14671" max="14832" width="12.5703125" style="119"/>
    <col min="14833" max="14833" width="2" style="119" customWidth="1"/>
    <col min="14834" max="14834" width="31.85546875" style="119" customWidth="1"/>
    <col min="14835" max="14835" width="10" style="119" bestFit="1" customWidth="1"/>
    <col min="14836" max="14836" width="8.140625" style="119" customWidth="1"/>
    <col min="14837" max="14837" width="8.42578125" style="119" bestFit="1" customWidth="1"/>
    <col min="14838" max="14838" width="8" style="119" customWidth="1"/>
    <col min="14839" max="14842" width="0" style="119" hidden="1" customWidth="1"/>
    <col min="14843" max="14844" width="7.85546875" style="119" bestFit="1" customWidth="1"/>
    <col min="14845" max="14845" width="8.7109375" style="119" bestFit="1" customWidth="1"/>
    <col min="14846" max="14846" width="7.42578125" style="119" customWidth="1"/>
    <col min="14847" max="14847" width="6.28515625" style="119" customWidth="1"/>
    <col min="14848" max="14885" width="0" style="119" hidden="1" customWidth="1"/>
    <col min="14886" max="14886" width="15.42578125" style="119" bestFit="1" customWidth="1"/>
    <col min="14887" max="14888" width="15.28515625" style="119" customWidth="1"/>
    <col min="14889" max="14889" width="18" style="119" customWidth="1"/>
    <col min="14890" max="14890" width="14" style="119" customWidth="1"/>
    <col min="14891" max="14891" width="13.42578125" style="119" customWidth="1"/>
    <col min="14892" max="14892" width="15" style="119" customWidth="1"/>
    <col min="14893" max="14893" width="15.28515625" style="119" customWidth="1"/>
    <col min="14894" max="14894" width="14" style="119" customWidth="1"/>
    <col min="14895" max="14896" width="12.140625" style="119" customWidth="1"/>
    <col min="14897" max="14897" width="16.140625" style="119" customWidth="1"/>
    <col min="14898" max="14898" width="14.140625" style="119" customWidth="1"/>
    <col min="14899" max="14899" width="14.42578125" style="119" customWidth="1"/>
    <col min="14900" max="14900" width="12.5703125" style="119"/>
    <col min="14901" max="14901" width="8.85546875" style="119" customWidth="1"/>
    <col min="14902" max="14903" width="14" style="119" customWidth="1"/>
    <col min="14904" max="14904" width="13.85546875" style="119" customWidth="1"/>
    <col min="14905" max="14905" width="13.140625" style="119" customWidth="1"/>
    <col min="14906" max="14906" width="14.42578125" style="119" customWidth="1"/>
    <col min="14907" max="14907" width="17.5703125" style="119" customWidth="1"/>
    <col min="14908" max="14908" width="17.28515625" style="119" customWidth="1"/>
    <col min="14909" max="14909" width="15.140625" style="119" bestFit="1" customWidth="1"/>
    <col min="14910" max="14910" width="14.140625" style="119" bestFit="1" customWidth="1"/>
    <col min="14911" max="14911" width="13.85546875" style="119" customWidth="1"/>
    <col min="14912" max="14912" width="12.85546875" style="119" bestFit="1" customWidth="1"/>
    <col min="14913" max="14913" width="9.85546875" style="119" customWidth="1"/>
    <col min="14914" max="14914" width="13" style="119" customWidth="1"/>
    <col min="14915" max="14915" width="11.28515625" style="119" customWidth="1"/>
    <col min="14916" max="14916" width="14.7109375" style="119" bestFit="1" customWidth="1"/>
    <col min="14917" max="14919" width="0" style="119" hidden="1" customWidth="1"/>
    <col min="14920" max="14920" width="2" style="119" customWidth="1"/>
    <col min="14921" max="14921" width="9.28515625" style="119" customWidth="1"/>
    <col min="14922" max="14922" width="13.7109375" style="119" customWidth="1"/>
    <col min="14923" max="14923" width="41.42578125" style="119" customWidth="1"/>
    <col min="14924" max="14925" width="12.5703125" style="119"/>
    <col min="14926" max="14926" width="13.85546875" style="119" customWidth="1"/>
    <col min="14927" max="15088" width="12.5703125" style="119"/>
    <col min="15089" max="15089" width="2" style="119" customWidth="1"/>
    <col min="15090" max="15090" width="31.85546875" style="119" customWidth="1"/>
    <col min="15091" max="15091" width="10" style="119" bestFit="1" customWidth="1"/>
    <col min="15092" max="15092" width="8.140625" style="119" customWidth="1"/>
    <col min="15093" max="15093" width="8.42578125" style="119" bestFit="1" customWidth="1"/>
    <col min="15094" max="15094" width="8" style="119" customWidth="1"/>
    <col min="15095" max="15098" width="0" style="119" hidden="1" customWidth="1"/>
    <col min="15099" max="15100" width="7.85546875" style="119" bestFit="1" customWidth="1"/>
    <col min="15101" max="15101" width="8.7109375" style="119" bestFit="1" customWidth="1"/>
    <col min="15102" max="15102" width="7.42578125" style="119" customWidth="1"/>
    <col min="15103" max="15103" width="6.28515625" style="119" customWidth="1"/>
    <col min="15104" max="15141" width="0" style="119" hidden="1" customWidth="1"/>
    <col min="15142" max="15142" width="15.42578125" style="119" bestFit="1" customWidth="1"/>
    <col min="15143" max="15144" width="15.28515625" style="119" customWidth="1"/>
    <col min="15145" max="15145" width="18" style="119" customWidth="1"/>
    <col min="15146" max="15146" width="14" style="119" customWidth="1"/>
    <col min="15147" max="15147" width="13.42578125" style="119" customWidth="1"/>
    <col min="15148" max="15148" width="15" style="119" customWidth="1"/>
    <col min="15149" max="15149" width="15.28515625" style="119" customWidth="1"/>
    <col min="15150" max="15150" width="14" style="119" customWidth="1"/>
    <col min="15151" max="15152" width="12.140625" style="119" customWidth="1"/>
    <col min="15153" max="15153" width="16.140625" style="119" customWidth="1"/>
    <col min="15154" max="15154" width="14.140625" style="119" customWidth="1"/>
    <col min="15155" max="15155" width="14.42578125" style="119" customWidth="1"/>
    <col min="15156" max="15156" width="12.5703125" style="119"/>
    <col min="15157" max="15157" width="8.85546875" style="119" customWidth="1"/>
    <col min="15158" max="15159" width="14" style="119" customWidth="1"/>
    <col min="15160" max="15160" width="13.85546875" style="119" customWidth="1"/>
    <col min="15161" max="15161" width="13.140625" style="119" customWidth="1"/>
    <col min="15162" max="15162" width="14.42578125" style="119" customWidth="1"/>
    <col min="15163" max="15163" width="17.5703125" style="119" customWidth="1"/>
    <col min="15164" max="15164" width="17.28515625" style="119" customWidth="1"/>
    <col min="15165" max="15165" width="15.140625" style="119" bestFit="1" customWidth="1"/>
    <col min="15166" max="15166" width="14.140625" style="119" bestFit="1" customWidth="1"/>
    <col min="15167" max="15167" width="13.85546875" style="119" customWidth="1"/>
    <col min="15168" max="15168" width="12.85546875" style="119" bestFit="1" customWidth="1"/>
    <col min="15169" max="15169" width="9.85546875" style="119" customWidth="1"/>
    <col min="15170" max="15170" width="13" style="119" customWidth="1"/>
    <col min="15171" max="15171" width="11.28515625" style="119" customWidth="1"/>
    <col min="15172" max="15172" width="14.7109375" style="119" bestFit="1" customWidth="1"/>
    <col min="15173" max="15175" width="0" style="119" hidden="1" customWidth="1"/>
    <col min="15176" max="15176" width="2" style="119" customWidth="1"/>
    <col min="15177" max="15177" width="9.28515625" style="119" customWidth="1"/>
    <col min="15178" max="15178" width="13.7109375" style="119" customWidth="1"/>
    <col min="15179" max="15179" width="41.42578125" style="119" customWidth="1"/>
    <col min="15180" max="15181" width="12.5703125" style="119"/>
    <col min="15182" max="15182" width="13.85546875" style="119" customWidth="1"/>
    <col min="15183" max="15344" width="12.5703125" style="119"/>
    <col min="15345" max="15345" width="2" style="119" customWidth="1"/>
    <col min="15346" max="15346" width="31.85546875" style="119" customWidth="1"/>
    <col min="15347" max="15347" width="10" style="119" bestFit="1" customWidth="1"/>
    <col min="15348" max="15348" width="8.140625" style="119" customWidth="1"/>
    <col min="15349" max="15349" width="8.42578125" style="119" bestFit="1" customWidth="1"/>
    <col min="15350" max="15350" width="8" style="119" customWidth="1"/>
    <col min="15351" max="15354" width="0" style="119" hidden="1" customWidth="1"/>
    <col min="15355" max="15356" width="7.85546875" style="119" bestFit="1" customWidth="1"/>
    <col min="15357" max="15357" width="8.7109375" style="119" bestFit="1" customWidth="1"/>
    <col min="15358" max="15358" width="7.42578125" style="119" customWidth="1"/>
    <col min="15359" max="15359" width="6.28515625" style="119" customWidth="1"/>
    <col min="15360" max="15397" width="0" style="119" hidden="1" customWidth="1"/>
    <col min="15398" max="15398" width="15.42578125" style="119" bestFit="1" customWidth="1"/>
    <col min="15399" max="15400" width="15.28515625" style="119" customWidth="1"/>
    <col min="15401" max="15401" width="18" style="119" customWidth="1"/>
    <col min="15402" max="15402" width="14" style="119" customWidth="1"/>
    <col min="15403" max="15403" width="13.42578125" style="119" customWidth="1"/>
    <col min="15404" max="15404" width="15" style="119" customWidth="1"/>
    <col min="15405" max="15405" width="15.28515625" style="119" customWidth="1"/>
    <col min="15406" max="15406" width="14" style="119" customWidth="1"/>
    <col min="15407" max="15408" width="12.140625" style="119" customWidth="1"/>
    <col min="15409" max="15409" width="16.140625" style="119" customWidth="1"/>
    <col min="15410" max="15410" width="14.140625" style="119" customWidth="1"/>
    <col min="15411" max="15411" width="14.42578125" style="119" customWidth="1"/>
    <col min="15412" max="15412" width="12.5703125" style="119"/>
    <col min="15413" max="15413" width="8.85546875" style="119" customWidth="1"/>
    <col min="15414" max="15415" width="14" style="119" customWidth="1"/>
    <col min="15416" max="15416" width="13.85546875" style="119" customWidth="1"/>
    <col min="15417" max="15417" width="13.140625" style="119" customWidth="1"/>
    <col min="15418" max="15418" width="14.42578125" style="119" customWidth="1"/>
    <col min="15419" max="15419" width="17.5703125" style="119" customWidth="1"/>
    <col min="15420" max="15420" width="17.28515625" style="119" customWidth="1"/>
    <col min="15421" max="15421" width="15.140625" style="119" bestFit="1" customWidth="1"/>
    <col min="15422" max="15422" width="14.140625" style="119" bestFit="1" customWidth="1"/>
    <col min="15423" max="15423" width="13.85546875" style="119" customWidth="1"/>
    <col min="15424" max="15424" width="12.85546875" style="119" bestFit="1" customWidth="1"/>
    <col min="15425" max="15425" width="9.85546875" style="119" customWidth="1"/>
    <col min="15426" max="15426" width="13" style="119" customWidth="1"/>
    <col min="15427" max="15427" width="11.28515625" style="119" customWidth="1"/>
    <col min="15428" max="15428" width="14.7109375" style="119" bestFit="1" customWidth="1"/>
    <col min="15429" max="15431" width="0" style="119" hidden="1" customWidth="1"/>
    <col min="15432" max="15432" width="2" style="119" customWidth="1"/>
    <col min="15433" max="15433" width="9.28515625" style="119" customWidth="1"/>
    <col min="15434" max="15434" width="13.7109375" style="119" customWidth="1"/>
    <col min="15435" max="15435" width="41.42578125" style="119" customWidth="1"/>
    <col min="15436" max="15437" width="12.5703125" style="119"/>
    <col min="15438" max="15438" width="13.85546875" style="119" customWidth="1"/>
    <col min="15439" max="15600" width="12.5703125" style="119"/>
    <col min="15601" max="15601" width="2" style="119" customWidth="1"/>
    <col min="15602" max="15602" width="31.85546875" style="119" customWidth="1"/>
    <col min="15603" max="15603" width="10" style="119" bestFit="1" customWidth="1"/>
    <col min="15604" max="15604" width="8.140625" style="119" customWidth="1"/>
    <col min="15605" max="15605" width="8.42578125" style="119" bestFit="1" customWidth="1"/>
    <col min="15606" max="15606" width="8" style="119" customWidth="1"/>
    <col min="15607" max="15610" width="0" style="119" hidden="1" customWidth="1"/>
    <col min="15611" max="15612" width="7.85546875" style="119" bestFit="1" customWidth="1"/>
    <col min="15613" max="15613" width="8.7109375" style="119" bestFit="1" customWidth="1"/>
    <col min="15614" max="15614" width="7.42578125" style="119" customWidth="1"/>
    <col min="15615" max="15615" width="6.28515625" style="119" customWidth="1"/>
    <col min="15616" max="15653" width="0" style="119" hidden="1" customWidth="1"/>
    <col min="15654" max="15654" width="15.42578125" style="119" bestFit="1" customWidth="1"/>
    <col min="15655" max="15656" width="15.28515625" style="119" customWidth="1"/>
    <col min="15657" max="15657" width="18" style="119" customWidth="1"/>
    <col min="15658" max="15658" width="14" style="119" customWidth="1"/>
    <col min="15659" max="15659" width="13.42578125" style="119" customWidth="1"/>
    <col min="15660" max="15660" width="15" style="119" customWidth="1"/>
    <col min="15661" max="15661" width="15.28515625" style="119" customWidth="1"/>
    <col min="15662" max="15662" width="14" style="119" customWidth="1"/>
    <col min="15663" max="15664" width="12.140625" style="119" customWidth="1"/>
    <col min="15665" max="15665" width="16.140625" style="119" customWidth="1"/>
    <col min="15666" max="15666" width="14.140625" style="119" customWidth="1"/>
    <col min="15667" max="15667" width="14.42578125" style="119" customWidth="1"/>
    <col min="15668" max="15668" width="12.5703125" style="119"/>
    <col min="15669" max="15669" width="8.85546875" style="119" customWidth="1"/>
    <col min="15670" max="15671" width="14" style="119" customWidth="1"/>
    <col min="15672" max="15672" width="13.85546875" style="119" customWidth="1"/>
    <col min="15673" max="15673" width="13.140625" style="119" customWidth="1"/>
    <col min="15674" max="15674" width="14.42578125" style="119" customWidth="1"/>
    <col min="15675" max="15675" width="17.5703125" style="119" customWidth="1"/>
    <col min="15676" max="15676" width="17.28515625" style="119" customWidth="1"/>
    <col min="15677" max="15677" width="15.140625" style="119" bestFit="1" customWidth="1"/>
    <col min="15678" max="15678" width="14.140625" style="119" bestFit="1" customWidth="1"/>
    <col min="15679" max="15679" width="13.85546875" style="119" customWidth="1"/>
    <col min="15680" max="15680" width="12.85546875" style="119" bestFit="1" customWidth="1"/>
    <col min="15681" max="15681" width="9.85546875" style="119" customWidth="1"/>
    <col min="15682" max="15682" width="13" style="119" customWidth="1"/>
    <col min="15683" max="15683" width="11.28515625" style="119" customWidth="1"/>
    <col min="15684" max="15684" width="14.7109375" style="119" bestFit="1" customWidth="1"/>
    <col min="15685" max="15687" width="0" style="119" hidden="1" customWidth="1"/>
    <col min="15688" max="15688" width="2" style="119" customWidth="1"/>
    <col min="15689" max="15689" width="9.28515625" style="119" customWidth="1"/>
    <col min="15690" max="15690" width="13.7109375" style="119" customWidth="1"/>
    <col min="15691" max="15691" width="41.42578125" style="119" customWidth="1"/>
    <col min="15692" max="15693" width="12.5703125" style="119"/>
    <col min="15694" max="15694" width="13.85546875" style="119" customWidth="1"/>
    <col min="15695" max="15856" width="12.5703125" style="119"/>
    <col min="15857" max="15857" width="2" style="119" customWidth="1"/>
    <col min="15858" max="15858" width="31.85546875" style="119" customWidth="1"/>
    <col min="15859" max="15859" width="10" style="119" bestFit="1" customWidth="1"/>
    <col min="15860" max="15860" width="8.140625" style="119" customWidth="1"/>
    <col min="15861" max="15861" width="8.42578125" style="119" bestFit="1" customWidth="1"/>
    <col min="15862" max="15862" width="8" style="119" customWidth="1"/>
    <col min="15863" max="15866" width="0" style="119" hidden="1" customWidth="1"/>
    <col min="15867" max="15868" width="7.85546875" style="119" bestFit="1" customWidth="1"/>
    <col min="15869" max="15869" width="8.7109375" style="119" bestFit="1" customWidth="1"/>
    <col min="15870" max="15870" width="7.42578125" style="119" customWidth="1"/>
    <col min="15871" max="15871" width="6.28515625" style="119" customWidth="1"/>
    <col min="15872" max="15909" width="0" style="119" hidden="1" customWidth="1"/>
    <col min="15910" max="15910" width="15.42578125" style="119" bestFit="1" customWidth="1"/>
    <col min="15911" max="15912" width="15.28515625" style="119" customWidth="1"/>
    <col min="15913" max="15913" width="18" style="119" customWidth="1"/>
    <col min="15914" max="15914" width="14" style="119" customWidth="1"/>
    <col min="15915" max="15915" width="13.42578125" style="119" customWidth="1"/>
    <col min="15916" max="15916" width="15" style="119" customWidth="1"/>
    <col min="15917" max="15917" width="15.28515625" style="119" customWidth="1"/>
    <col min="15918" max="15918" width="14" style="119" customWidth="1"/>
    <col min="15919" max="15920" width="12.140625" style="119" customWidth="1"/>
    <col min="15921" max="15921" width="16.140625" style="119" customWidth="1"/>
    <col min="15922" max="15922" width="14.140625" style="119" customWidth="1"/>
    <col min="15923" max="15923" width="14.42578125" style="119" customWidth="1"/>
    <col min="15924" max="15924" width="12.5703125" style="119"/>
    <col min="15925" max="15925" width="8.85546875" style="119" customWidth="1"/>
    <col min="15926" max="15927" width="14" style="119" customWidth="1"/>
    <col min="15928" max="15928" width="13.85546875" style="119" customWidth="1"/>
    <col min="15929" max="15929" width="13.140625" style="119" customWidth="1"/>
    <col min="15930" max="15930" width="14.42578125" style="119" customWidth="1"/>
    <col min="15931" max="15931" width="17.5703125" style="119" customWidth="1"/>
    <col min="15932" max="15932" width="17.28515625" style="119" customWidth="1"/>
    <col min="15933" max="15933" width="15.140625" style="119" bestFit="1" customWidth="1"/>
    <col min="15934" max="15934" width="14.140625" style="119" bestFit="1" customWidth="1"/>
    <col min="15935" max="15935" width="13.85546875" style="119" customWidth="1"/>
    <col min="15936" max="15936" width="12.85546875" style="119" bestFit="1" customWidth="1"/>
    <col min="15937" max="15937" width="9.85546875" style="119" customWidth="1"/>
    <col min="15938" max="15938" width="13" style="119" customWidth="1"/>
    <col min="15939" max="15939" width="11.28515625" style="119" customWidth="1"/>
    <col min="15940" max="15940" width="14.7109375" style="119" bestFit="1" customWidth="1"/>
    <col min="15941" max="15943" width="0" style="119" hidden="1" customWidth="1"/>
    <col min="15944" max="15944" width="2" style="119" customWidth="1"/>
    <col min="15945" max="15945" width="9.28515625" style="119" customWidth="1"/>
    <col min="15946" max="15946" width="13.7109375" style="119" customWidth="1"/>
    <col min="15947" max="15947" width="41.42578125" style="119" customWidth="1"/>
    <col min="15948" max="15949" width="12.5703125" style="119"/>
    <col min="15950" max="15950" width="13.85546875" style="119" customWidth="1"/>
    <col min="15951" max="16112" width="12.5703125" style="119"/>
    <col min="16113" max="16113" width="2" style="119" customWidth="1"/>
    <col min="16114" max="16114" width="31.85546875" style="119" customWidth="1"/>
    <col min="16115" max="16115" width="10" style="119" bestFit="1" customWidth="1"/>
    <col min="16116" max="16116" width="8.140625" style="119" customWidth="1"/>
    <col min="16117" max="16117" width="8.42578125" style="119" bestFit="1" customWidth="1"/>
    <col min="16118" max="16118" width="8" style="119" customWidth="1"/>
    <col min="16119" max="16122" width="0" style="119" hidden="1" customWidth="1"/>
    <col min="16123" max="16124" width="7.85546875" style="119" bestFit="1" customWidth="1"/>
    <col min="16125" max="16125" width="8.7109375" style="119" bestFit="1" customWidth="1"/>
    <col min="16126" max="16126" width="7.42578125" style="119" customWidth="1"/>
    <col min="16127" max="16127" width="6.28515625" style="119" customWidth="1"/>
    <col min="16128" max="16165" width="0" style="119" hidden="1" customWidth="1"/>
    <col min="16166" max="16166" width="15.42578125" style="119" bestFit="1" customWidth="1"/>
    <col min="16167" max="16168" width="15.28515625" style="119" customWidth="1"/>
    <col min="16169" max="16169" width="18" style="119" customWidth="1"/>
    <col min="16170" max="16170" width="14" style="119" customWidth="1"/>
    <col min="16171" max="16171" width="13.42578125" style="119" customWidth="1"/>
    <col min="16172" max="16172" width="15" style="119" customWidth="1"/>
    <col min="16173" max="16173" width="15.28515625" style="119" customWidth="1"/>
    <col min="16174" max="16174" width="14" style="119" customWidth="1"/>
    <col min="16175" max="16176" width="12.140625" style="119" customWidth="1"/>
    <col min="16177" max="16177" width="16.140625" style="119" customWidth="1"/>
    <col min="16178" max="16178" width="14.140625" style="119" customWidth="1"/>
    <col min="16179" max="16179" width="14.42578125" style="119" customWidth="1"/>
    <col min="16180" max="16180" width="12.5703125" style="119"/>
    <col min="16181" max="16181" width="8.85546875" style="119" customWidth="1"/>
    <col min="16182" max="16183" width="14" style="119" customWidth="1"/>
    <col min="16184" max="16184" width="13.85546875" style="119" customWidth="1"/>
    <col min="16185" max="16185" width="13.140625" style="119" customWidth="1"/>
    <col min="16186" max="16186" width="14.42578125" style="119" customWidth="1"/>
    <col min="16187" max="16187" width="17.5703125" style="119" customWidth="1"/>
    <col min="16188" max="16188" width="17.28515625" style="119" customWidth="1"/>
    <col min="16189" max="16189" width="15.140625" style="119" bestFit="1" customWidth="1"/>
    <col min="16190" max="16190" width="14.140625" style="119" bestFit="1" customWidth="1"/>
    <col min="16191" max="16191" width="13.85546875" style="119" customWidth="1"/>
    <col min="16192" max="16192" width="12.85546875" style="119" bestFit="1" customWidth="1"/>
    <col min="16193" max="16193" width="9.85546875" style="119" customWidth="1"/>
    <col min="16194" max="16194" width="13" style="119" customWidth="1"/>
    <col min="16195" max="16195" width="11.28515625" style="119" customWidth="1"/>
    <col min="16196" max="16196" width="14.7109375" style="119" bestFit="1" customWidth="1"/>
    <col min="16197" max="16199" width="0" style="119" hidden="1" customWidth="1"/>
    <col min="16200" max="16200" width="2" style="119" customWidth="1"/>
    <col min="16201" max="16201" width="9.28515625" style="119" customWidth="1"/>
    <col min="16202" max="16202" width="13.7109375" style="119" customWidth="1"/>
    <col min="16203" max="16203" width="41.42578125" style="119" customWidth="1"/>
    <col min="16204" max="16205" width="12.5703125" style="119"/>
    <col min="16206" max="16206" width="13.85546875" style="119" customWidth="1"/>
    <col min="16207" max="16384" width="12.5703125" style="119"/>
  </cols>
  <sheetData>
    <row r="1" spans="1:74" s="12" customFormat="1" ht="18.75" x14ac:dyDescent="0.25">
      <c r="B1" s="13"/>
      <c r="C1" s="14"/>
      <c r="D1" s="15"/>
      <c r="E1" s="16"/>
      <c r="F1" s="16"/>
      <c r="G1" s="17"/>
      <c r="H1" s="17"/>
      <c r="I1" s="17"/>
      <c r="J1" s="17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9"/>
      <c r="BR1" s="20"/>
      <c r="BS1" s="21"/>
    </row>
    <row r="2" spans="1:74" s="12" customFormat="1" ht="18.75" x14ac:dyDescent="0.25">
      <c r="B2" s="13"/>
      <c r="C2" s="14"/>
      <c r="D2" s="15"/>
      <c r="E2" s="16"/>
      <c r="F2" s="16"/>
      <c r="G2" s="17"/>
      <c r="H2" s="17"/>
      <c r="I2" s="17"/>
      <c r="J2" s="17"/>
      <c r="Y2" s="18"/>
      <c r="Z2" s="18"/>
      <c r="AA2" s="18"/>
      <c r="AB2" s="18"/>
      <c r="AC2" s="18"/>
      <c r="AD2" s="18">
        <f>30*0.75-11</f>
        <v>11.5</v>
      </c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9"/>
      <c r="BR2" s="20"/>
      <c r="BS2" s="21"/>
    </row>
    <row r="3" spans="1:74" s="12" customFormat="1" ht="19.5" thickBot="1" x14ac:dyDescent="0.3">
      <c r="B3" s="13"/>
      <c r="C3" s="22"/>
      <c r="D3" s="15"/>
      <c r="E3" s="23"/>
      <c r="F3" s="23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24"/>
      <c r="BS3" s="21"/>
    </row>
    <row r="4" spans="1:74" s="12" customFormat="1" ht="19.5" customHeight="1" thickTop="1" x14ac:dyDescent="0.25">
      <c r="B4" s="427" t="s">
        <v>28</v>
      </c>
      <c r="C4" s="412" t="s">
        <v>29</v>
      </c>
      <c r="D4" s="413"/>
      <c r="E4" s="413"/>
      <c r="F4" s="414"/>
      <c r="G4" s="442" t="s">
        <v>30</v>
      </c>
      <c r="H4" s="443"/>
      <c r="I4" s="443"/>
      <c r="J4" s="444"/>
      <c r="K4" s="418" t="s">
        <v>31</v>
      </c>
      <c r="L4" s="419"/>
      <c r="M4" s="419"/>
      <c r="N4" s="419"/>
      <c r="O4" s="420"/>
      <c r="P4" s="435" t="s">
        <v>200</v>
      </c>
      <c r="Q4" s="435"/>
      <c r="R4" s="435"/>
      <c r="S4" s="435"/>
      <c r="T4" s="435"/>
      <c r="U4" s="435"/>
      <c r="V4" s="435"/>
      <c r="W4" s="435"/>
      <c r="X4" s="436"/>
      <c r="Y4" s="412" t="s">
        <v>205</v>
      </c>
      <c r="Z4" s="413"/>
      <c r="AA4" s="413"/>
      <c r="AB4" s="413"/>
      <c r="AC4" s="413"/>
      <c r="AD4" s="413"/>
      <c r="AE4" s="413"/>
      <c r="AF4" s="413"/>
      <c r="AG4" s="413"/>
      <c r="AH4" s="413"/>
      <c r="AI4" s="414"/>
      <c r="AJ4" s="412" t="s">
        <v>33</v>
      </c>
      <c r="AK4" s="413"/>
      <c r="AL4" s="413"/>
      <c r="AM4" s="414"/>
      <c r="AN4" s="418" t="s">
        <v>34</v>
      </c>
      <c r="AO4" s="419"/>
      <c r="AP4" s="420"/>
      <c r="AQ4" s="418" t="s">
        <v>230</v>
      </c>
      <c r="AR4" s="419"/>
      <c r="AS4" s="420"/>
      <c r="AT4" s="412" t="s">
        <v>35</v>
      </c>
      <c r="AU4" s="413"/>
      <c r="AV4" s="413"/>
      <c r="AW4" s="414"/>
      <c r="AX4" s="412" t="s">
        <v>36</v>
      </c>
      <c r="AY4" s="413"/>
      <c r="AZ4" s="413"/>
      <c r="BA4" s="413"/>
      <c r="BB4" s="413"/>
      <c r="BC4" s="414"/>
      <c r="BD4" s="418" t="s">
        <v>32</v>
      </c>
      <c r="BE4" s="419"/>
      <c r="BF4" s="419"/>
      <c r="BG4" s="419"/>
      <c r="BH4" s="419"/>
      <c r="BI4" s="420"/>
      <c r="BJ4" s="424" t="s">
        <v>37</v>
      </c>
      <c r="BK4" s="425"/>
      <c r="BL4" s="425"/>
      <c r="BM4" s="425"/>
      <c r="BN4" s="425"/>
      <c r="BO4" s="425"/>
      <c r="BP4" s="426"/>
      <c r="BQ4" s="18"/>
      <c r="BR4" s="24"/>
      <c r="BS4" s="21"/>
    </row>
    <row r="5" spans="1:74" s="12" customFormat="1" ht="18.75" x14ac:dyDescent="0.25">
      <c r="B5" s="428"/>
      <c r="C5" s="415"/>
      <c r="D5" s="416"/>
      <c r="E5" s="416"/>
      <c r="F5" s="417"/>
      <c r="G5" s="432"/>
      <c r="H5" s="433"/>
      <c r="I5" s="433"/>
      <c r="J5" s="434"/>
      <c r="K5" s="421"/>
      <c r="L5" s="422"/>
      <c r="M5" s="422"/>
      <c r="N5" s="422"/>
      <c r="O5" s="423"/>
      <c r="P5" s="404" t="s">
        <v>206</v>
      </c>
      <c r="Q5" s="404"/>
      <c r="R5" s="404"/>
      <c r="S5" s="404"/>
      <c r="T5" s="404"/>
      <c r="U5" s="404"/>
      <c r="V5" s="404"/>
      <c r="W5" s="405"/>
      <c r="X5" s="218" t="s">
        <v>38</v>
      </c>
      <c r="Y5" s="415"/>
      <c r="Z5" s="416"/>
      <c r="AA5" s="416"/>
      <c r="AB5" s="416"/>
      <c r="AC5" s="416"/>
      <c r="AD5" s="416"/>
      <c r="AE5" s="416"/>
      <c r="AF5" s="416"/>
      <c r="AG5" s="416"/>
      <c r="AH5" s="416"/>
      <c r="AI5" s="417"/>
      <c r="AJ5" s="415"/>
      <c r="AK5" s="416"/>
      <c r="AL5" s="416"/>
      <c r="AM5" s="417"/>
      <c r="AN5" s="421"/>
      <c r="AO5" s="422"/>
      <c r="AP5" s="423"/>
      <c r="AQ5" s="421"/>
      <c r="AR5" s="422"/>
      <c r="AS5" s="423"/>
      <c r="AT5" s="415"/>
      <c r="AU5" s="416"/>
      <c r="AV5" s="416"/>
      <c r="AW5" s="417"/>
      <c r="AX5" s="415"/>
      <c r="AY5" s="416"/>
      <c r="AZ5" s="416"/>
      <c r="BA5" s="416"/>
      <c r="BB5" s="416"/>
      <c r="BC5" s="417"/>
      <c r="BD5" s="421"/>
      <c r="BE5" s="422"/>
      <c r="BF5" s="422"/>
      <c r="BG5" s="422"/>
      <c r="BH5" s="422"/>
      <c r="BI5" s="423"/>
      <c r="BJ5" s="406" t="s">
        <v>39</v>
      </c>
      <c r="BK5" s="407"/>
      <c r="BL5" s="408" t="s">
        <v>40</v>
      </c>
      <c r="BM5" s="407"/>
      <c r="BN5" s="408" t="s">
        <v>41</v>
      </c>
      <c r="BO5" s="407"/>
      <c r="BP5" s="25" t="s">
        <v>42</v>
      </c>
      <c r="BQ5" s="18"/>
      <c r="BR5" s="24"/>
      <c r="BS5" s="21"/>
    </row>
    <row r="6" spans="1:74" s="12" customFormat="1" ht="70.5" customHeight="1" x14ac:dyDescent="0.25">
      <c r="B6" s="26" t="s">
        <v>43</v>
      </c>
      <c r="C6" s="27" t="s">
        <v>44</v>
      </c>
      <c r="D6" s="28" t="s">
        <v>45</v>
      </c>
      <c r="E6" s="29" t="s">
        <v>46</v>
      </c>
      <c r="F6" s="30" t="s">
        <v>47</v>
      </c>
      <c r="G6" s="31" t="s">
        <v>48</v>
      </c>
      <c r="H6" s="32" t="s">
        <v>49</v>
      </c>
      <c r="I6" s="33" t="s">
        <v>50</v>
      </c>
      <c r="J6" s="34" t="s">
        <v>51</v>
      </c>
      <c r="K6" s="35" t="s">
        <v>52</v>
      </c>
      <c r="L6" s="36" t="s">
        <v>53</v>
      </c>
      <c r="M6" s="37" t="s">
        <v>54</v>
      </c>
      <c r="N6" s="38" t="s">
        <v>55</v>
      </c>
      <c r="O6" s="39" t="s">
        <v>56</v>
      </c>
      <c r="P6" s="393" t="s">
        <v>221</v>
      </c>
      <c r="Q6" s="394"/>
      <c r="R6" s="399" t="s">
        <v>217</v>
      </c>
      <c r="S6" s="400"/>
      <c r="T6" s="399" t="s">
        <v>218</v>
      </c>
      <c r="U6" s="400"/>
      <c r="V6" s="393" t="s">
        <v>220</v>
      </c>
      <c r="W6" s="394"/>
      <c r="X6" s="302" t="s">
        <v>57</v>
      </c>
      <c r="Y6" s="48" t="s">
        <v>204</v>
      </c>
      <c r="Z6" s="49" t="s">
        <v>211</v>
      </c>
      <c r="AA6" s="49" t="s">
        <v>212</v>
      </c>
      <c r="AB6" s="49" t="s">
        <v>58</v>
      </c>
      <c r="AC6" s="49" t="s">
        <v>59</v>
      </c>
      <c r="AD6" s="40" t="s">
        <v>195</v>
      </c>
      <c r="AE6" s="40" t="s">
        <v>60</v>
      </c>
      <c r="AF6" s="40" t="s">
        <v>189</v>
      </c>
      <c r="AG6" s="40" t="s">
        <v>203</v>
      </c>
      <c r="AH6" s="40" t="s">
        <v>202</v>
      </c>
      <c r="AI6" s="41" t="s">
        <v>61</v>
      </c>
      <c r="AJ6" s="49" t="s">
        <v>208</v>
      </c>
      <c r="AK6" s="49" t="s">
        <v>207</v>
      </c>
      <c r="AL6" s="40" t="s">
        <v>209</v>
      </c>
      <c r="AM6" s="220" t="s">
        <v>210</v>
      </c>
      <c r="AN6" s="330" t="s">
        <v>64</v>
      </c>
      <c r="AO6" s="331" t="s">
        <v>65</v>
      </c>
      <c r="AP6" s="332" t="s">
        <v>73</v>
      </c>
      <c r="AQ6" s="42" t="s">
        <v>62</v>
      </c>
      <c r="AR6" s="43" t="s">
        <v>63</v>
      </c>
      <c r="AS6" s="44" t="s">
        <v>216</v>
      </c>
      <c r="AT6" s="235" t="s">
        <v>56</v>
      </c>
      <c r="AU6" s="236" t="s">
        <v>66</v>
      </c>
      <c r="AV6" s="236" t="s">
        <v>67</v>
      </c>
      <c r="AW6" s="346" t="s">
        <v>224</v>
      </c>
      <c r="AX6" s="353" t="s">
        <v>226</v>
      </c>
      <c r="AY6" s="236" t="s">
        <v>68</v>
      </c>
      <c r="AZ6" s="236" t="s">
        <v>69</v>
      </c>
      <c r="BA6" s="236" t="s">
        <v>228</v>
      </c>
      <c r="BB6" s="236" t="s">
        <v>70</v>
      </c>
      <c r="BC6" s="346" t="s">
        <v>229</v>
      </c>
      <c r="BD6" s="437" t="s">
        <v>219</v>
      </c>
      <c r="BE6" s="438"/>
      <c r="BF6" s="439"/>
      <c r="BG6" s="440"/>
      <c r="BH6" s="439"/>
      <c r="BI6" s="441"/>
      <c r="BJ6" s="50" t="s">
        <v>71</v>
      </c>
      <c r="BK6" s="51" t="s">
        <v>72</v>
      </c>
      <c r="BL6" s="52" t="s">
        <v>73</v>
      </c>
      <c r="BM6" s="53" t="s">
        <v>74</v>
      </c>
      <c r="BN6" s="52" t="s">
        <v>75</v>
      </c>
      <c r="BO6" s="54" t="s">
        <v>76</v>
      </c>
      <c r="BP6" s="45" t="s">
        <v>77</v>
      </c>
      <c r="BQ6" s="18"/>
      <c r="BR6" s="24"/>
      <c r="BS6" s="21"/>
    </row>
    <row r="7" spans="1:74" s="55" customFormat="1" ht="18" thickBot="1" x14ac:dyDescent="0.3">
      <c r="A7" s="55" t="s">
        <v>78</v>
      </c>
      <c r="B7" s="56" t="s">
        <v>79</v>
      </c>
      <c r="C7" s="57" t="s">
        <v>80</v>
      </c>
      <c r="D7" s="58" t="s">
        <v>81</v>
      </c>
      <c r="E7" s="59" t="s">
        <v>82</v>
      </c>
      <c r="F7" s="60"/>
      <c r="G7" s="61" t="s">
        <v>83</v>
      </c>
      <c r="H7" s="62" t="s">
        <v>83</v>
      </c>
      <c r="I7" s="63" t="s">
        <v>83</v>
      </c>
      <c r="J7" s="64" t="s">
        <v>83</v>
      </c>
      <c r="K7" s="65" t="s">
        <v>84</v>
      </c>
      <c r="L7" s="66" t="s">
        <v>84</v>
      </c>
      <c r="M7" s="67" t="s">
        <v>85</v>
      </c>
      <c r="N7" s="68" t="s">
        <v>86</v>
      </c>
      <c r="O7" s="69" t="s">
        <v>87</v>
      </c>
      <c r="P7" s="293" t="s">
        <v>85</v>
      </c>
      <c r="Q7" s="301" t="s">
        <v>88</v>
      </c>
      <c r="R7" s="293" t="s">
        <v>85</v>
      </c>
      <c r="S7" s="301" t="s">
        <v>88</v>
      </c>
      <c r="T7" s="293" t="s">
        <v>85</v>
      </c>
      <c r="U7" s="296" t="s">
        <v>88</v>
      </c>
      <c r="V7" s="293" t="s">
        <v>85</v>
      </c>
      <c r="W7" s="296" t="s">
        <v>88</v>
      </c>
      <c r="X7" s="305" t="s">
        <v>201</v>
      </c>
      <c r="Y7" s="78" t="s">
        <v>83</v>
      </c>
      <c r="Z7" s="225" t="s">
        <v>83</v>
      </c>
      <c r="AA7" s="225"/>
      <c r="AB7" s="225" t="s">
        <v>83</v>
      </c>
      <c r="AC7" s="225" t="s">
        <v>83</v>
      </c>
      <c r="AD7" s="70" t="s">
        <v>83</v>
      </c>
      <c r="AE7" s="70" t="s">
        <v>83</v>
      </c>
      <c r="AF7" s="70" t="s">
        <v>83</v>
      </c>
      <c r="AG7" s="70" t="s">
        <v>83</v>
      </c>
      <c r="AH7" s="70" t="s">
        <v>83</v>
      </c>
      <c r="AI7" s="71" t="s">
        <v>83</v>
      </c>
      <c r="AJ7" s="79" t="s">
        <v>83</v>
      </c>
      <c r="AK7" s="79" t="s">
        <v>83</v>
      </c>
      <c r="AL7" s="70" t="s">
        <v>83</v>
      </c>
      <c r="AM7" s="223" t="s">
        <v>83</v>
      </c>
      <c r="AN7" s="333" t="s">
        <v>89</v>
      </c>
      <c r="AO7" s="334" t="s">
        <v>89</v>
      </c>
      <c r="AP7" s="335" t="s">
        <v>89</v>
      </c>
      <c r="AQ7" s="72" t="s">
        <v>90</v>
      </c>
      <c r="AR7" s="73" t="s">
        <v>89</v>
      </c>
      <c r="AS7" s="74" t="s">
        <v>89</v>
      </c>
      <c r="AT7" s="237" t="s">
        <v>87</v>
      </c>
      <c r="AU7" s="238"/>
      <c r="AV7" s="349" t="s">
        <v>89</v>
      </c>
      <c r="AW7" s="347" t="s">
        <v>89</v>
      </c>
      <c r="AX7" s="354" t="s">
        <v>91</v>
      </c>
      <c r="AY7" s="349" t="s">
        <v>89</v>
      </c>
      <c r="AZ7" s="349" t="s">
        <v>92</v>
      </c>
      <c r="BA7" s="349" t="s">
        <v>93</v>
      </c>
      <c r="BB7" s="349" t="s">
        <v>89</v>
      </c>
      <c r="BC7" s="347" t="s">
        <v>89</v>
      </c>
      <c r="BD7" s="309" t="s">
        <v>85</v>
      </c>
      <c r="BE7" s="310" t="s">
        <v>89</v>
      </c>
      <c r="BF7" s="311" t="s">
        <v>85</v>
      </c>
      <c r="BG7" s="312" t="s">
        <v>89</v>
      </c>
      <c r="BH7" s="311" t="s">
        <v>85</v>
      </c>
      <c r="BI7" s="313" t="s">
        <v>89</v>
      </c>
      <c r="BJ7" s="80" t="s">
        <v>89</v>
      </c>
      <c r="BK7" s="81" t="s">
        <v>89</v>
      </c>
      <c r="BL7" s="81" t="s">
        <v>89</v>
      </c>
      <c r="BM7" s="81" t="s">
        <v>86</v>
      </c>
      <c r="BN7" s="75" t="s">
        <v>89</v>
      </c>
      <c r="BO7" s="82" t="s">
        <v>90</v>
      </c>
      <c r="BP7" s="83" t="s">
        <v>89</v>
      </c>
      <c r="BQ7" s="84" t="s">
        <v>94</v>
      </c>
      <c r="BR7" s="85" t="s">
        <v>84</v>
      </c>
      <c r="BS7" s="86" t="s">
        <v>84</v>
      </c>
    </row>
    <row r="8" spans="1:74" s="12" customFormat="1" ht="18.75" x14ac:dyDescent="0.25">
      <c r="B8" s="87" t="s">
        <v>95</v>
      </c>
      <c r="C8" s="88">
        <v>76.7</v>
      </c>
      <c r="D8" s="89">
        <v>7</v>
      </c>
      <c r="E8" s="90">
        <v>468</v>
      </c>
      <c r="F8" s="91"/>
      <c r="G8" s="92">
        <v>0</v>
      </c>
      <c r="H8" s="93"/>
      <c r="I8" s="94">
        <v>0</v>
      </c>
      <c r="J8" s="95"/>
      <c r="K8" s="96">
        <v>19</v>
      </c>
      <c r="L8" s="97">
        <v>28</v>
      </c>
      <c r="M8" s="98">
        <v>4</v>
      </c>
      <c r="N8" s="99" t="s">
        <v>96</v>
      </c>
      <c r="O8" s="100"/>
      <c r="P8" s="289"/>
      <c r="Q8" s="300"/>
      <c r="R8" s="295">
        <v>1</v>
      </c>
      <c r="S8" s="303">
        <v>5000</v>
      </c>
      <c r="T8" s="289"/>
      <c r="U8" s="291"/>
      <c r="V8" s="289">
        <v>10</v>
      </c>
      <c r="W8" s="291">
        <f>C8*V8</f>
        <v>767</v>
      </c>
      <c r="X8" s="292">
        <v>8</v>
      </c>
      <c r="Y8" s="219">
        <v>8105</v>
      </c>
      <c r="Z8" s="231">
        <v>642</v>
      </c>
      <c r="AA8" s="231">
        <v>0</v>
      </c>
      <c r="AB8" s="231">
        <f>0.34*AP8*(K8-(-10))*(1-0.8)</f>
        <v>3943.9999999999991</v>
      </c>
      <c r="AC8" s="229">
        <f>SUM(Y8:AB8)</f>
        <v>12691</v>
      </c>
      <c r="AD8" s="102">
        <v>353</v>
      </c>
      <c r="AE8" s="102">
        <f>0.34*(AP8)*(35-L8)*(1-0.8)*1.1</f>
        <v>1047.1999999999998</v>
      </c>
      <c r="AF8" s="102">
        <f>ROUNDUP((MAX(X8*C8)),-1)</f>
        <v>620</v>
      </c>
      <c r="AG8" s="102">
        <f>M8*130</f>
        <v>520</v>
      </c>
      <c r="AH8" s="102">
        <f>Q8+S8+U8+W8</f>
        <v>5767</v>
      </c>
      <c r="AI8" s="104">
        <f>SUM(AD8:AH8)</f>
        <v>8307.2000000000007</v>
      </c>
      <c r="AJ8" s="230"/>
      <c r="AK8" s="232">
        <f>AC8</f>
        <v>12691</v>
      </c>
      <c r="AL8" s="221"/>
      <c r="AM8" s="222">
        <f>AI8</f>
        <v>8307.2000000000007</v>
      </c>
      <c r="AN8" s="336">
        <f>M8*60</f>
        <v>240</v>
      </c>
      <c r="AO8" s="337">
        <v>2000</v>
      </c>
      <c r="AP8" s="338">
        <f>MAX(ROUNDUP(AO8,-1),AN8)</f>
        <v>2000</v>
      </c>
      <c r="AQ8" s="105">
        <v>6</v>
      </c>
      <c r="AR8" s="106">
        <f>ROUNDUP((MAX(E8*AQ8)),-1)</f>
        <v>2810</v>
      </c>
      <c r="AS8" s="107">
        <f>ROUNDUP(AM8/(0.34*(L8-18)*1.1),-1)</f>
        <v>2230</v>
      </c>
      <c r="AT8" s="239"/>
      <c r="AU8" s="240"/>
      <c r="AV8" s="350"/>
      <c r="AW8" s="348"/>
      <c r="AX8" s="355"/>
      <c r="AY8" s="350"/>
      <c r="AZ8" s="357"/>
      <c r="BA8" s="357"/>
      <c r="BB8" s="350"/>
      <c r="BC8" s="348"/>
      <c r="BD8" s="314">
        <v>1</v>
      </c>
      <c r="BE8" s="315">
        <v>150</v>
      </c>
      <c r="BF8" s="316"/>
      <c r="BG8" s="315"/>
      <c r="BH8" s="316"/>
      <c r="BI8" s="234"/>
      <c r="BJ8" s="108">
        <f>BE8+BG8+BI8</f>
        <v>150</v>
      </c>
      <c r="BK8" s="113"/>
      <c r="BL8" s="113">
        <f>AP8</f>
        <v>2000</v>
      </c>
      <c r="BM8" s="114">
        <f>BL8*100/BN8</f>
        <v>100</v>
      </c>
      <c r="BN8" s="115">
        <f>BL8</f>
        <v>2000</v>
      </c>
      <c r="BO8" s="109">
        <f>BN8/E8</f>
        <v>4.2735042735042734</v>
      </c>
      <c r="BP8" s="110">
        <f>BN8+BN9-BP9-BP10-BP11-BP12</f>
        <v>1840</v>
      </c>
      <c r="BQ8" s="18"/>
      <c r="BR8" s="24"/>
      <c r="BS8" s="21"/>
      <c r="BV8" s="12">
        <f>BP8/4</f>
        <v>460</v>
      </c>
    </row>
    <row r="9" spans="1:74" x14ac:dyDescent="0.25">
      <c r="A9" s="116" t="s">
        <v>97</v>
      </c>
      <c r="B9" s="87" t="s">
        <v>98</v>
      </c>
      <c r="C9" s="88">
        <v>6.1</v>
      </c>
      <c r="D9" s="89">
        <v>2.5</v>
      </c>
      <c r="E9" s="90">
        <f>C9*D9</f>
        <v>15.25</v>
      </c>
      <c r="F9" s="91"/>
      <c r="G9" s="92">
        <v>0</v>
      </c>
      <c r="H9" s="93"/>
      <c r="I9" s="94">
        <v>0</v>
      </c>
      <c r="J9" s="95"/>
      <c r="K9" s="96">
        <v>19</v>
      </c>
      <c r="L9" s="97">
        <v>25</v>
      </c>
      <c r="M9" s="98">
        <v>2</v>
      </c>
      <c r="N9" s="99" t="s">
        <v>96</v>
      </c>
      <c r="O9" s="100"/>
      <c r="P9" s="289">
        <v>1</v>
      </c>
      <c r="Q9" s="291">
        <f>P9*200</f>
        <v>200</v>
      </c>
      <c r="R9" s="289"/>
      <c r="S9" s="300"/>
      <c r="T9" s="295">
        <v>1</v>
      </c>
      <c r="U9" s="297">
        <v>2000</v>
      </c>
      <c r="V9" s="289">
        <v>10</v>
      </c>
      <c r="W9" s="291">
        <f>C9*V9</f>
        <v>61</v>
      </c>
      <c r="X9" s="292">
        <v>10</v>
      </c>
      <c r="Y9" s="219">
        <v>134</v>
      </c>
      <c r="Z9" s="231">
        <v>0</v>
      </c>
      <c r="AA9" s="231">
        <v>0</v>
      </c>
      <c r="AB9" s="231">
        <f>0.34*AP9*(K9-(-10))*(1-0.8)</f>
        <v>98.59999999999998</v>
      </c>
      <c r="AC9" s="229">
        <f t="shared" ref="AC9:AC12" si="0">SUM(Y9:AB9)</f>
        <v>232.59999999999997</v>
      </c>
      <c r="AD9" s="102">
        <v>25</v>
      </c>
      <c r="AE9" s="102">
        <f>0.34*(AP9)*(35-L9)*(1-0.8)*1.1</f>
        <v>37.4</v>
      </c>
      <c r="AF9" s="102">
        <f>ROUNDUP((MAX(X9*C9)),-1)</f>
        <v>70</v>
      </c>
      <c r="AG9" s="102">
        <f>M9*130</f>
        <v>260</v>
      </c>
      <c r="AH9" s="102">
        <f>Q9+S9+U9+W9</f>
        <v>2261</v>
      </c>
      <c r="AI9" s="104">
        <f>SUM(AD9:AH9)</f>
        <v>2653.4</v>
      </c>
      <c r="AJ9" s="232">
        <f t="shared" ref="AJ9" si="1">(Y9+Z9+AA9)</f>
        <v>134</v>
      </c>
      <c r="AK9" s="232">
        <f t="shared" ref="AK9" si="2">AB9</f>
        <v>98.59999999999998</v>
      </c>
      <c r="AL9" s="221">
        <f>AD9+AF9+AG9+AH9</f>
        <v>2616</v>
      </c>
      <c r="AM9" s="228">
        <f>AE9</f>
        <v>37.4</v>
      </c>
      <c r="AN9" s="336">
        <f>M9*25</f>
        <v>50</v>
      </c>
      <c r="AO9" s="337">
        <v>2.5</v>
      </c>
      <c r="AP9" s="338">
        <f>MAX(ROUNDUP(E9*AO9,-1),AN9)</f>
        <v>50</v>
      </c>
      <c r="AQ9" s="105"/>
      <c r="AR9" s="106"/>
      <c r="AS9" s="107" t="s">
        <v>99</v>
      </c>
      <c r="AT9" s="239"/>
      <c r="AU9" s="240"/>
      <c r="AV9" s="350"/>
      <c r="AW9" s="348"/>
      <c r="AX9" s="355"/>
      <c r="AY9" s="350"/>
      <c r="AZ9" s="357"/>
      <c r="BA9" s="357"/>
      <c r="BB9" s="350"/>
      <c r="BC9" s="348"/>
      <c r="BD9" s="314"/>
      <c r="BE9" s="315"/>
      <c r="BF9" s="316"/>
      <c r="BG9" s="315"/>
      <c r="BH9" s="316"/>
      <c r="BI9" s="234"/>
      <c r="BJ9" s="108"/>
      <c r="BK9" s="114"/>
      <c r="BL9" s="113">
        <f>AP9</f>
        <v>50</v>
      </c>
      <c r="BM9" s="114">
        <f>BL9*100/BN9</f>
        <v>100</v>
      </c>
      <c r="BN9" s="113">
        <v>50</v>
      </c>
      <c r="BO9" s="109">
        <f>BN9/E9</f>
        <v>3.278688524590164</v>
      </c>
      <c r="BP9" s="110">
        <v>60</v>
      </c>
      <c r="BQ9" s="101" t="e">
        <f>BQ7+1</f>
        <v>#VALUE!</v>
      </c>
      <c r="BR9" s="117">
        <f>25-AI9/0.34/BN9</f>
        <v>-131.08235294117648</v>
      </c>
      <c r="BS9" s="118">
        <f>K9+(Y9/(0.34*BN9))</f>
        <v>26.882352941176471</v>
      </c>
    </row>
    <row r="10" spans="1:74" x14ac:dyDescent="0.25">
      <c r="A10" s="116" t="s">
        <v>97</v>
      </c>
      <c r="B10" s="87" t="s">
        <v>100</v>
      </c>
      <c r="C10" s="88">
        <v>7</v>
      </c>
      <c r="D10" s="89">
        <v>2.5</v>
      </c>
      <c r="E10" s="90">
        <f>C10*D10</f>
        <v>17.5</v>
      </c>
      <c r="F10" s="91"/>
      <c r="G10" s="92">
        <v>0</v>
      </c>
      <c r="H10" s="93"/>
      <c r="I10" s="94">
        <v>0</v>
      </c>
      <c r="J10" s="95"/>
      <c r="K10" s="96" t="s">
        <v>11</v>
      </c>
      <c r="L10" s="97" t="s">
        <v>11</v>
      </c>
      <c r="M10" s="98">
        <v>0</v>
      </c>
      <c r="N10" s="99" t="s">
        <v>96</v>
      </c>
      <c r="O10" s="100"/>
      <c r="P10" s="289"/>
      <c r="Q10" s="300"/>
      <c r="R10" s="289"/>
      <c r="S10" s="300"/>
      <c r="T10" s="289"/>
      <c r="U10" s="291"/>
      <c r="V10" s="289"/>
      <c r="W10" s="291"/>
      <c r="X10" s="292">
        <v>8</v>
      </c>
      <c r="Y10" s="219"/>
      <c r="Z10" s="231"/>
      <c r="AA10" s="231"/>
      <c r="AB10" s="231"/>
      <c r="AC10" s="229"/>
      <c r="AD10" s="102"/>
      <c r="AE10" s="102"/>
      <c r="AF10" s="102"/>
      <c r="AG10" s="102"/>
      <c r="AH10" s="103"/>
      <c r="AI10" s="104"/>
      <c r="AJ10" s="230"/>
      <c r="AK10" s="230"/>
      <c r="AL10" s="102"/>
      <c r="AM10" s="104"/>
      <c r="AN10" s="336">
        <v>0</v>
      </c>
      <c r="AO10" s="337">
        <v>0</v>
      </c>
      <c r="AP10" s="338">
        <f>MAX(ROUNDUP(E10*AO10,-1),AN10)</f>
        <v>0</v>
      </c>
      <c r="AQ10" s="105"/>
      <c r="AR10" s="106"/>
      <c r="AS10" s="107"/>
      <c r="AT10" s="239"/>
      <c r="AU10" s="240"/>
      <c r="AV10" s="350"/>
      <c r="AW10" s="348"/>
      <c r="AX10" s="355"/>
      <c r="AY10" s="350"/>
      <c r="AZ10" s="357"/>
      <c r="BA10" s="357"/>
      <c r="BB10" s="350"/>
      <c r="BC10" s="348"/>
      <c r="BD10" s="314"/>
      <c r="BE10" s="315"/>
      <c r="BF10" s="316"/>
      <c r="BG10" s="315"/>
      <c r="BH10" s="316"/>
      <c r="BI10" s="234"/>
      <c r="BJ10" s="108"/>
      <c r="BK10" s="114"/>
      <c r="BL10" s="113">
        <f>AP10</f>
        <v>0</v>
      </c>
      <c r="BM10" s="114"/>
      <c r="BN10" s="113">
        <f>MAX(AR10,AS10)</f>
        <v>0</v>
      </c>
      <c r="BO10" s="109">
        <f>BN10/E10</f>
        <v>0</v>
      </c>
      <c r="BP10" s="110">
        <v>45</v>
      </c>
      <c r="BQ10" s="101">
        <f>BQ8+1</f>
        <v>1</v>
      </c>
      <c r="BR10" s="117" t="e">
        <f>25-AI10/0.34/BN10</f>
        <v>#DIV/0!</v>
      </c>
      <c r="BS10" s="118" t="e">
        <f>K10+(Y10/(0.34*BN10))</f>
        <v>#VALUE!</v>
      </c>
    </row>
    <row r="11" spans="1:74" x14ac:dyDescent="0.25">
      <c r="A11" s="116"/>
      <c r="B11" s="87" t="s">
        <v>101</v>
      </c>
      <c r="C11" s="88">
        <v>9</v>
      </c>
      <c r="D11" s="89">
        <v>2.5</v>
      </c>
      <c r="E11" s="90">
        <f>C11*D11</f>
        <v>22.5</v>
      </c>
      <c r="F11" s="91"/>
      <c r="G11" s="92"/>
      <c r="H11" s="93"/>
      <c r="I11" s="94"/>
      <c r="J11" s="95"/>
      <c r="K11" s="96" t="s">
        <v>11</v>
      </c>
      <c r="L11" s="97" t="s">
        <v>11</v>
      </c>
      <c r="M11" s="98">
        <v>0</v>
      </c>
      <c r="N11" s="99" t="s">
        <v>96</v>
      </c>
      <c r="O11" s="100"/>
      <c r="P11" s="289"/>
      <c r="Q11" s="300"/>
      <c r="R11" s="289"/>
      <c r="S11" s="300"/>
      <c r="T11" s="289"/>
      <c r="U11" s="291"/>
      <c r="V11" s="289"/>
      <c r="W11" s="291"/>
      <c r="X11" s="292">
        <v>8</v>
      </c>
      <c r="Y11" s="219"/>
      <c r="Z11" s="231"/>
      <c r="AA11" s="231"/>
      <c r="AB11" s="231"/>
      <c r="AC11" s="229"/>
      <c r="AD11" s="102"/>
      <c r="AE11" s="102"/>
      <c r="AF11" s="102"/>
      <c r="AG11" s="102"/>
      <c r="AH11" s="103"/>
      <c r="AI11" s="104"/>
      <c r="AJ11" s="230"/>
      <c r="AK11" s="230"/>
      <c r="AL11" s="102"/>
      <c r="AM11" s="104"/>
      <c r="AN11" s="336">
        <v>0</v>
      </c>
      <c r="AO11" s="337">
        <v>0</v>
      </c>
      <c r="AP11" s="338">
        <f>MAX(ROUNDUP(E11*AO11,-1),AN11)</f>
        <v>0</v>
      </c>
      <c r="AQ11" s="105"/>
      <c r="AR11" s="106"/>
      <c r="AS11" s="107"/>
      <c r="AT11" s="239"/>
      <c r="AU11" s="240"/>
      <c r="AV11" s="350"/>
      <c r="AW11" s="348"/>
      <c r="AX11" s="355"/>
      <c r="AY11" s="350"/>
      <c r="AZ11" s="357"/>
      <c r="BA11" s="357"/>
      <c r="BB11" s="350"/>
      <c r="BC11" s="348"/>
      <c r="BD11" s="314"/>
      <c r="BE11" s="315"/>
      <c r="BF11" s="316"/>
      <c r="BG11" s="315"/>
      <c r="BH11" s="316"/>
      <c r="BI11" s="234"/>
      <c r="BJ11" s="108"/>
      <c r="BK11" s="114"/>
      <c r="BL11" s="113">
        <f>AP11</f>
        <v>0</v>
      </c>
      <c r="BM11" s="114"/>
      <c r="BN11" s="113">
        <f>MAX(AR11,AS11)</f>
        <v>0</v>
      </c>
      <c r="BO11" s="109">
        <f>BN11/E11</f>
        <v>0</v>
      </c>
      <c r="BP11" s="110">
        <v>60</v>
      </c>
      <c r="BQ11" s="101"/>
      <c r="BR11" s="117"/>
      <c r="BS11" s="118"/>
    </row>
    <row r="12" spans="1:74" ht="16.5" thickBot="1" x14ac:dyDescent="0.3">
      <c r="A12" s="116"/>
      <c r="B12" s="87" t="s">
        <v>102</v>
      </c>
      <c r="C12" s="88">
        <v>5.16</v>
      </c>
      <c r="D12" s="89">
        <v>2.5</v>
      </c>
      <c r="E12" s="90">
        <f>C12*D12</f>
        <v>12.9</v>
      </c>
      <c r="F12" s="91"/>
      <c r="G12" s="92">
        <v>0</v>
      </c>
      <c r="H12" s="93"/>
      <c r="I12" s="94">
        <v>0</v>
      </c>
      <c r="J12" s="95"/>
      <c r="K12" s="96" t="s">
        <v>11</v>
      </c>
      <c r="L12" s="97" t="s">
        <v>11</v>
      </c>
      <c r="M12" s="98">
        <v>0</v>
      </c>
      <c r="N12" s="99" t="s">
        <v>96</v>
      </c>
      <c r="O12" s="100"/>
      <c r="P12" s="289"/>
      <c r="Q12" s="300"/>
      <c r="R12" s="289"/>
      <c r="S12" s="300"/>
      <c r="T12" s="289"/>
      <c r="U12" s="291"/>
      <c r="V12" s="289"/>
      <c r="W12" s="291"/>
      <c r="X12" s="292">
        <v>8</v>
      </c>
      <c r="Y12" s="219">
        <v>293</v>
      </c>
      <c r="Z12" s="231">
        <v>7</v>
      </c>
      <c r="AA12" s="231">
        <v>0</v>
      </c>
      <c r="AB12" s="231"/>
      <c r="AC12" s="229">
        <f t="shared" si="0"/>
        <v>300</v>
      </c>
      <c r="AD12" s="102"/>
      <c r="AE12" s="102"/>
      <c r="AF12" s="102"/>
      <c r="AG12" s="102"/>
      <c r="AH12" s="103"/>
      <c r="AI12" s="104"/>
      <c r="AJ12" s="232">
        <f t="shared" ref="AJ12" si="3">(Y12+Z12+AA12)</f>
        <v>300</v>
      </c>
      <c r="AK12" s="232"/>
      <c r="AL12" s="102"/>
      <c r="AM12" s="104"/>
      <c r="AN12" s="336">
        <v>0</v>
      </c>
      <c r="AO12" s="337">
        <v>0</v>
      </c>
      <c r="AP12" s="338">
        <f>MAX(ROUNDUP(E12*AO12,-1),AN12)</f>
        <v>0</v>
      </c>
      <c r="AQ12" s="105"/>
      <c r="AR12" s="106"/>
      <c r="AS12" s="107"/>
      <c r="AT12" s="239"/>
      <c r="AU12" s="240"/>
      <c r="AV12" s="350"/>
      <c r="AW12" s="348"/>
      <c r="AX12" s="355"/>
      <c r="AY12" s="350"/>
      <c r="AZ12" s="357"/>
      <c r="BA12" s="357"/>
      <c r="BB12" s="350"/>
      <c r="BC12" s="348"/>
      <c r="BD12" s="314"/>
      <c r="BE12" s="315"/>
      <c r="BF12" s="316"/>
      <c r="BG12" s="315"/>
      <c r="BH12" s="316"/>
      <c r="BI12" s="234"/>
      <c r="BJ12" s="108"/>
      <c r="BK12" s="114"/>
      <c r="BL12" s="113">
        <f>AP12</f>
        <v>0</v>
      </c>
      <c r="BM12" s="114"/>
      <c r="BN12" s="113">
        <f>MAX(AR12,AS12)</f>
        <v>0</v>
      </c>
      <c r="BO12" s="109">
        <f>BN12/E12</f>
        <v>0</v>
      </c>
      <c r="BP12" s="110">
        <v>45</v>
      </c>
      <c r="BQ12" s="101"/>
      <c r="BR12" s="117"/>
      <c r="BS12" s="118"/>
    </row>
    <row r="13" spans="1:74" s="12" customFormat="1" ht="19.5" thickBot="1" x14ac:dyDescent="0.3">
      <c r="B13" s="120" t="s">
        <v>103</v>
      </c>
      <c r="C13" s="121">
        <f>SUM(C8:C12)</f>
        <v>103.96</v>
      </c>
      <c r="D13" s="122"/>
      <c r="E13" s="123">
        <f>SUM(E8:E12)</f>
        <v>536.15</v>
      </c>
      <c r="F13" s="124"/>
      <c r="G13" s="125"/>
      <c r="H13" s="126"/>
      <c r="I13" s="127"/>
      <c r="J13" s="128"/>
      <c r="K13" s="129"/>
      <c r="L13" s="130"/>
      <c r="M13" s="130"/>
      <c r="N13" s="131"/>
      <c r="O13" s="132"/>
      <c r="P13" s="307"/>
      <c r="Q13" s="298"/>
      <c r="R13" s="307"/>
      <c r="S13" s="298"/>
      <c r="T13" s="307"/>
      <c r="U13" s="299"/>
      <c r="V13" s="307"/>
      <c r="W13" s="299"/>
      <c r="X13" s="306"/>
      <c r="Y13" s="143">
        <f>SUM(Y8:Y12)</f>
        <v>8532</v>
      </c>
      <c r="Z13" s="226">
        <f>SUM(Z8:Z12)</f>
        <v>649</v>
      </c>
      <c r="AA13" s="226">
        <f>SUM(AA8:AA12)</f>
        <v>0</v>
      </c>
      <c r="AB13" s="226">
        <f>SUM(AB8:AB12)</f>
        <v>4042.599999999999</v>
      </c>
      <c r="AC13" s="226">
        <f>SUM(AC8:AC12)</f>
        <v>13223.6</v>
      </c>
      <c r="AD13" s="134">
        <f t="shared" ref="AD13:AI13" si="4">SUM(AD8:AD12)</f>
        <v>378</v>
      </c>
      <c r="AE13" s="134">
        <f t="shared" si="4"/>
        <v>1084.5999999999999</v>
      </c>
      <c r="AF13" s="134">
        <f t="shared" si="4"/>
        <v>690</v>
      </c>
      <c r="AG13" s="134">
        <f t="shared" si="4"/>
        <v>780</v>
      </c>
      <c r="AH13" s="134">
        <f t="shared" si="4"/>
        <v>8028</v>
      </c>
      <c r="AI13" s="135">
        <f t="shared" si="4"/>
        <v>10960.6</v>
      </c>
      <c r="AJ13" s="144">
        <f t="shared" ref="AJ13:AK13" si="5">SUM(AJ8:AJ12)</f>
        <v>434</v>
      </c>
      <c r="AK13" s="144">
        <f t="shared" si="5"/>
        <v>12789.6</v>
      </c>
      <c r="AL13" s="134">
        <f>SUM(AL8:AL12)</f>
        <v>2616</v>
      </c>
      <c r="AM13" s="135">
        <f>SUM(AM8:AM12)</f>
        <v>8344.6</v>
      </c>
      <c r="AN13" s="342">
        <f>SUM(AN4:AN8)</f>
        <v>240</v>
      </c>
      <c r="AO13" s="343"/>
      <c r="AP13" s="344">
        <f>SUM(AP8:AP12)</f>
        <v>2050</v>
      </c>
      <c r="AQ13" s="136"/>
      <c r="AR13" s="137"/>
      <c r="AS13" s="138"/>
      <c r="AT13" s="242"/>
      <c r="AU13" s="243"/>
      <c r="AV13" s="351"/>
      <c r="AW13" s="244"/>
      <c r="AX13" s="242"/>
      <c r="AY13" s="351"/>
      <c r="AZ13" s="351"/>
      <c r="BA13" s="351"/>
      <c r="BB13" s="351"/>
      <c r="BC13" s="244"/>
      <c r="BD13" s="133">
        <f>SUM(BD4:BD4)</f>
        <v>0</v>
      </c>
      <c r="BE13" s="323"/>
      <c r="BF13" s="324">
        <f>SUM(BF4:BF4)</f>
        <v>0</v>
      </c>
      <c r="BG13" s="323"/>
      <c r="BH13" s="324">
        <f>SUM(BH4:BH4)</f>
        <v>0</v>
      </c>
      <c r="BI13" s="325"/>
      <c r="BJ13" s="139"/>
      <c r="BK13" s="145"/>
      <c r="BL13" s="146">
        <f>SUM(BL8:BL12)</f>
        <v>2050</v>
      </c>
      <c r="BM13" s="145">
        <f>BL13*100/BN13</f>
        <v>100</v>
      </c>
      <c r="BN13" s="146">
        <f>SUM(BN8:BN12)</f>
        <v>2050</v>
      </c>
      <c r="BO13" s="147"/>
      <c r="BP13" s="148">
        <f>SUM(BP8:BP12)</f>
        <v>2050</v>
      </c>
      <c r="BQ13" s="18"/>
      <c r="BR13" s="24"/>
      <c r="BS13" s="21"/>
    </row>
    <row r="14" spans="1:74" ht="16.5" thickBot="1" x14ac:dyDescent="0.3">
      <c r="AH14" s="157"/>
      <c r="AJ14" s="157"/>
      <c r="AK14" s="157"/>
      <c r="AL14" s="157"/>
    </row>
    <row r="15" spans="1:74" s="12" customFormat="1" ht="19.5" customHeight="1" thickTop="1" x14ac:dyDescent="0.25">
      <c r="B15" s="427" t="s">
        <v>104</v>
      </c>
      <c r="C15" s="412" t="s">
        <v>29</v>
      </c>
      <c r="D15" s="413"/>
      <c r="E15" s="413"/>
      <c r="F15" s="414"/>
      <c r="G15" s="442" t="s">
        <v>30</v>
      </c>
      <c r="H15" s="443"/>
      <c r="I15" s="443"/>
      <c r="J15" s="444"/>
      <c r="K15" s="418" t="s">
        <v>31</v>
      </c>
      <c r="L15" s="419"/>
      <c r="M15" s="419"/>
      <c r="N15" s="419"/>
      <c r="O15" s="420"/>
      <c r="P15" s="435" t="s">
        <v>200</v>
      </c>
      <c r="Q15" s="435"/>
      <c r="R15" s="435"/>
      <c r="S15" s="435"/>
      <c r="T15" s="435"/>
      <c r="U15" s="435"/>
      <c r="V15" s="435"/>
      <c r="W15" s="435"/>
      <c r="X15" s="436"/>
      <c r="Y15" s="412" t="s">
        <v>205</v>
      </c>
      <c r="Z15" s="413"/>
      <c r="AA15" s="413"/>
      <c r="AB15" s="413"/>
      <c r="AC15" s="413"/>
      <c r="AD15" s="413"/>
      <c r="AE15" s="413"/>
      <c r="AF15" s="413"/>
      <c r="AG15" s="413"/>
      <c r="AH15" s="413"/>
      <c r="AI15" s="414"/>
      <c r="AJ15" s="412" t="s">
        <v>33</v>
      </c>
      <c r="AK15" s="413"/>
      <c r="AL15" s="413"/>
      <c r="AM15" s="414"/>
      <c r="AN15" s="418" t="s">
        <v>34</v>
      </c>
      <c r="AO15" s="419"/>
      <c r="AP15" s="420"/>
      <c r="AQ15" s="418" t="s">
        <v>230</v>
      </c>
      <c r="AR15" s="419"/>
      <c r="AS15" s="420"/>
      <c r="AT15" s="412" t="s">
        <v>35</v>
      </c>
      <c r="AU15" s="413"/>
      <c r="AV15" s="413"/>
      <c r="AW15" s="413"/>
      <c r="AX15" s="447" t="s">
        <v>36</v>
      </c>
      <c r="AY15" s="448"/>
      <c r="AZ15" s="448"/>
      <c r="BA15" s="448"/>
      <c r="BB15" s="448"/>
      <c r="BC15" s="449"/>
      <c r="BD15" s="419" t="s">
        <v>32</v>
      </c>
      <c r="BE15" s="419"/>
      <c r="BF15" s="419"/>
      <c r="BG15" s="419"/>
      <c r="BH15" s="419"/>
      <c r="BI15" s="420"/>
      <c r="BJ15" s="424" t="s">
        <v>37</v>
      </c>
      <c r="BK15" s="425"/>
      <c r="BL15" s="425"/>
      <c r="BM15" s="425"/>
      <c r="BN15" s="425"/>
      <c r="BO15" s="425"/>
      <c r="BP15" s="426"/>
      <c r="BQ15" s="18"/>
      <c r="BR15" s="24"/>
      <c r="BS15" s="21"/>
    </row>
    <row r="16" spans="1:74" s="12" customFormat="1" ht="18.75" x14ac:dyDescent="0.25">
      <c r="B16" s="428"/>
      <c r="C16" s="415"/>
      <c r="D16" s="416"/>
      <c r="E16" s="416"/>
      <c r="F16" s="417"/>
      <c r="G16" s="432"/>
      <c r="H16" s="433"/>
      <c r="I16" s="433"/>
      <c r="J16" s="434"/>
      <c r="K16" s="421"/>
      <c r="L16" s="422"/>
      <c r="M16" s="422"/>
      <c r="N16" s="422"/>
      <c r="O16" s="423"/>
      <c r="P16" s="404" t="s">
        <v>206</v>
      </c>
      <c r="Q16" s="404"/>
      <c r="R16" s="404"/>
      <c r="S16" s="404"/>
      <c r="T16" s="404"/>
      <c r="U16" s="404"/>
      <c r="V16" s="404"/>
      <c r="W16" s="405"/>
      <c r="X16" s="218" t="s">
        <v>38</v>
      </c>
      <c r="Y16" s="415"/>
      <c r="Z16" s="416"/>
      <c r="AA16" s="416"/>
      <c r="AB16" s="416"/>
      <c r="AC16" s="416"/>
      <c r="AD16" s="416"/>
      <c r="AE16" s="416"/>
      <c r="AF16" s="416"/>
      <c r="AG16" s="416"/>
      <c r="AH16" s="416"/>
      <c r="AI16" s="417"/>
      <c r="AJ16" s="415"/>
      <c r="AK16" s="416"/>
      <c r="AL16" s="416"/>
      <c r="AM16" s="417"/>
      <c r="AN16" s="421"/>
      <c r="AO16" s="422"/>
      <c r="AP16" s="423"/>
      <c r="AQ16" s="421"/>
      <c r="AR16" s="422"/>
      <c r="AS16" s="423"/>
      <c r="AT16" s="415"/>
      <c r="AU16" s="416"/>
      <c r="AV16" s="416"/>
      <c r="AW16" s="416"/>
      <c r="AX16" s="450"/>
      <c r="AY16" s="416"/>
      <c r="AZ16" s="416"/>
      <c r="BA16" s="416"/>
      <c r="BB16" s="416"/>
      <c r="BC16" s="451"/>
      <c r="BD16" s="422"/>
      <c r="BE16" s="422"/>
      <c r="BF16" s="422"/>
      <c r="BG16" s="422"/>
      <c r="BH16" s="422"/>
      <c r="BI16" s="423"/>
      <c r="BJ16" s="406"/>
      <c r="BK16" s="407"/>
      <c r="BL16" s="408" t="s">
        <v>40</v>
      </c>
      <c r="BM16" s="407"/>
      <c r="BN16" s="408" t="s">
        <v>41</v>
      </c>
      <c r="BO16" s="407"/>
      <c r="BP16" s="25" t="s">
        <v>42</v>
      </c>
      <c r="BQ16" s="18"/>
      <c r="BR16" s="24"/>
      <c r="BS16" s="21"/>
    </row>
    <row r="17" spans="1:71" s="12" customFormat="1" ht="87" customHeight="1" x14ac:dyDescent="0.25">
      <c r="B17" s="26" t="s">
        <v>105</v>
      </c>
      <c r="C17" s="27" t="s">
        <v>44</v>
      </c>
      <c r="D17" s="28" t="s">
        <v>45</v>
      </c>
      <c r="E17" s="29" t="s">
        <v>46</v>
      </c>
      <c r="F17" s="30" t="s">
        <v>47</v>
      </c>
      <c r="G17" s="31" t="s">
        <v>48</v>
      </c>
      <c r="H17" s="32" t="s">
        <v>49</v>
      </c>
      <c r="I17" s="33" t="s">
        <v>50</v>
      </c>
      <c r="J17" s="34" t="s">
        <v>51</v>
      </c>
      <c r="K17" s="35" t="s">
        <v>52</v>
      </c>
      <c r="L17" s="36" t="s">
        <v>53</v>
      </c>
      <c r="M17" s="37" t="s">
        <v>54</v>
      </c>
      <c r="N17" s="38" t="s">
        <v>106</v>
      </c>
      <c r="O17" s="39" t="s">
        <v>56</v>
      </c>
      <c r="P17" s="446" t="s">
        <v>196</v>
      </c>
      <c r="Q17" s="394"/>
      <c r="R17" s="393" t="s">
        <v>214</v>
      </c>
      <c r="S17" s="394"/>
      <c r="T17" s="393" t="s">
        <v>213</v>
      </c>
      <c r="U17" s="394"/>
      <c r="V17" s="393" t="s">
        <v>220</v>
      </c>
      <c r="W17" s="394"/>
      <c r="X17" s="302" t="s">
        <v>57</v>
      </c>
      <c r="Y17" s="48" t="s">
        <v>204</v>
      </c>
      <c r="Z17" s="49" t="s">
        <v>211</v>
      </c>
      <c r="AA17" s="49" t="s">
        <v>212</v>
      </c>
      <c r="AB17" s="49" t="s">
        <v>58</v>
      </c>
      <c r="AC17" s="49" t="s">
        <v>59</v>
      </c>
      <c r="AD17" s="40" t="s">
        <v>195</v>
      </c>
      <c r="AE17" s="40" t="s">
        <v>60</v>
      </c>
      <c r="AF17" s="40" t="s">
        <v>189</v>
      </c>
      <c r="AG17" s="40" t="s">
        <v>203</v>
      </c>
      <c r="AH17" s="40" t="s">
        <v>202</v>
      </c>
      <c r="AI17" s="41" t="s">
        <v>61</v>
      </c>
      <c r="AJ17" s="49" t="s">
        <v>208</v>
      </c>
      <c r="AK17" s="49" t="s">
        <v>207</v>
      </c>
      <c r="AL17" s="40" t="s">
        <v>209</v>
      </c>
      <c r="AM17" s="220" t="s">
        <v>210</v>
      </c>
      <c r="AN17" s="330" t="s">
        <v>64</v>
      </c>
      <c r="AO17" s="331" t="s">
        <v>65</v>
      </c>
      <c r="AP17" s="332" t="s">
        <v>73</v>
      </c>
      <c r="AQ17" s="42" t="s">
        <v>62</v>
      </c>
      <c r="AR17" s="43" t="s">
        <v>63</v>
      </c>
      <c r="AS17" s="44" t="s">
        <v>215</v>
      </c>
      <c r="AT17" s="235" t="s">
        <v>56</v>
      </c>
      <c r="AU17" s="236" t="s">
        <v>66</v>
      </c>
      <c r="AV17" s="236" t="s">
        <v>67</v>
      </c>
      <c r="AW17" s="376" t="s">
        <v>224</v>
      </c>
      <c r="AX17" s="353" t="s">
        <v>226</v>
      </c>
      <c r="AY17" s="236" t="s">
        <v>68</v>
      </c>
      <c r="AZ17" s="236" t="s">
        <v>69</v>
      </c>
      <c r="BA17" s="236" t="s">
        <v>228</v>
      </c>
      <c r="BB17" s="236" t="s">
        <v>70</v>
      </c>
      <c r="BC17" s="346" t="s">
        <v>229</v>
      </c>
      <c r="BD17" s="445"/>
      <c r="BE17" s="396"/>
      <c r="BF17" s="397"/>
      <c r="BG17" s="396"/>
      <c r="BH17" s="397"/>
      <c r="BI17" s="398"/>
      <c r="BJ17" s="50" t="s">
        <v>71</v>
      </c>
      <c r="BK17" s="51" t="s">
        <v>72</v>
      </c>
      <c r="BL17" s="52" t="s">
        <v>73</v>
      </c>
      <c r="BM17" s="53" t="s">
        <v>74</v>
      </c>
      <c r="BN17" s="52" t="s">
        <v>75</v>
      </c>
      <c r="BO17" s="54" t="s">
        <v>76</v>
      </c>
      <c r="BP17" s="45" t="s">
        <v>77</v>
      </c>
      <c r="BQ17" s="18"/>
      <c r="BR17" s="24"/>
      <c r="BS17" s="21"/>
    </row>
    <row r="18" spans="1:71" s="55" customFormat="1" ht="18" thickBot="1" x14ac:dyDescent="0.3">
      <c r="A18" s="55" t="s">
        <v>78</v>
      </c>
      <c r="B18" s="56" t="s">
        <v>79</v>
      </c>
      <c r="C18" s="57" t="s">
        <v>80</v>
      </c>
      <c r="D18" s="58" t="s">
        <v>81</v>
      </c>
      <c r="E18" s="59" t="s">
        <v>82</v>
      </c>
      <c r="F18" s="60"/>
      <c r="G18" s="61" t="s">
        <v>83</v>
      </c>
      <c r="H18" s="62" t="s">
        <v>83</v>
      </c>
      <c r="I18" s="63" t="s">
        <v>83</v>
      </c>
      <c r="J18" s="64" t="s">
        <v>83</v>
      </c>
      <c r="K18" s="65" t="s">
        <v>84</v>
      </c>
      <c r="L18" s="66" t="s">
        <v>84</v>
      </c>
      <c r="M18" s="67" t="s">
        <v>85</v>
      </c>
      <c r="N18" s="68" t="s">
        <v>86</v>
      </c>
      <c r="O18" s="69" t="s">
        <v>87</v>
      </c>
      <c r="P18" s="293" t="s">
        <v>85</v>
      </c>
      <c r="Q18" s="296" t="s">
        <v>88</v>
      </c>
      <c r="R18" s="293" t="s">
        <v>85</v>
      </c>
      <c r="S18" s="296" t="s">
        <v>88</v>
      </c>
      <c r="T18" s="293" t="s">
        <v>85</v>
      </c>
      <c r="U18" s="296" t="s">
        <v>88</v>
      </c>
      <c r="V18" s="293" t="s">
        <v>201</v>
      </c>
      <c r="W18" s="296" t="s">
        <v>88</v>
      </c>
      <c r="X18" s="305" t="s">
        <v>201</v>
      </c>
      <c r="Y18" s="78" t="s">
        <v>83</v>
      </c>
      <c r="Z18" s="225" t="s">
        <v>83</v>
      </c>
      <c r="AA18" s="225" t="s">
        <v>83</v>
      </c>
      <c r="AB18" s="225" t="s">
        <v>83</v>
      </c>
      <c r="AC18" s="225" t="s">
        <v>83</v>
      </c>
      <c r="AD18" s="70" t="s">
        <v>83</v>
      </c>
      <c r="AE18" s="70" t="s">
        <v>83</v>
      </c>
      <c r="AF18" s="70" t="s">
        <v>83</v>
      </c>
      <c r="AG18" s="70" t="s">
        <v>83</v>
      </c>
      <c r="AH18" s="70" t="s">
        <v>83</v>
      </c>
      <c r="AI18" s="71" t="s">
        <v>83</v>
      </c>
      <c r="AJ18" s="79" t="s">
        <v>83</v>
      </c>
      <c r="AK18" s="79" t="s">
        <v>83</v>
      </c>
      <c r="AL18" s="70" t="s">
        <v>83</v>
      </c>
      <c r="AM18" s="223" t="s">
        <v>83</v>
      </c>
      <c r="AN18" s="333" t="s">
        <v>89</v>
      </c>
      <c r="AO18" s="334" t="s">
        <v>89</v>
      </c>
      <c r="AP18" s="335" t="s">
        <v>89</v>
      </c>
      <c r="AQ18" s="72" t="s">
        <v>90</v>
      </c>
      <c r="AR18" s="73" t="s">
        <v>89</v>
      </c>
      <c r="AS18" s="74" t="s">
        <v>89</v>
      </c>
      <c r="AT18" s="237" t="s">
        <v>87</v>
      </c>
      <c r="AU18" s="238"/>
      <c r="AV18" s="349" t="s">
        <v>89</v>
      </c>
      <c r="AW18" s="377" t="s">
        <v>89</v>
      </c>
      <c r="AX18" s="349" t="s">
        <v>91</v>
      </c>
      <c r="AY18" s="374" t="s">
        <v>89</v>
      </c>
      <c r="AZ18" s="374" t="s">
        <v>92</v>
      </c>
      <c r="BA18" s="349" t="s">
        <v>93</v>
      </c>
      <c r="BB18" s="349" t="s">
        <v>89</v>
      </c>
      <c r="BC18" s="374" t="s">
        <v>89</v>
      </c>
      <c r="BD18" s="379" t="s">
        <v>85</v>
      </c>
      <c r="BE18" s="246" t="s">
        <v>89</v>
      </c>
      <c r="BF18" s="247" t="s">
        <v>85</v>
      </c>
      <c r="BG18" s="248" t="s">
        <v>89</v>
      </c>
      <c r="BH18" s="247" t="s">
        <v>85</v>
      </c>
      <c r="BI18" s="249" t="s">
        <v>89</v>
      </c>
      <c r="BJ18" s="80" t="s">
        <v>89</v>
      </c>
      <c r="BK18" s="81" t="s">
        <v>89</v>
      </c>
      <c r="BL18" s="81" t="s">
        <v>89</v>
      </c>
      <c r="BM18" s="81" t="s">
        <v>86</v>
      </c>
      <c r="BN18" s="75" t="s">
        <v>89</v>
      </c>
      <c r="BO18" s="82" t="s">
        <v>90</v>
      </c>
      <c r="BP18" s="83" t="s">
        <v>89</v>
      </c>
      <c r="BQ18" s="84" t="s">
        <v>94</v>
      </c>
      <c r="BR18" s="85" t="s">
        <v>84</v>
      </c>
      <c r="BS18" s="86" t="s">
        <v>84</v>
      </c>
    </row>
    <row r="19" spans="1:71" s="12" customFormat="1" ht="19.5" thickBot="1" x14ac:dyDescent="0.3">
      <c r="B19" s="87" t="s">
        <v>107</v>
      </c>
      <c r="C19" s="88">
        <v>47.7</v>
      </c>
      <c r="D19" s="89">
        <v>3</v>
      </c>
      <c r="E19" s="158">
        <f>C19*D19</f>
        <v>143.10000000000002</v>
      </c>
      <c r="F19" s="91"/>
      <c r="G19" s="92">
        <v>0</v>
      </c>
      <c r="H19" s="93"/>
      <c r="I19" s="94">
        <v>0</v>
      </c>
      <c r="J19" s="95"/>
      <c r="K19" s="96">
        <v>20</v>
      </c>
      <c r="L19" s="97">
        <v>22</v>
      </c>
      <c r="M19" s="98">
        <v>4</v>
      </c>
      <c r="N19" s="99" t="s">
        <v>96</v>
      </c>
      <c r="O19" s="100">
        <v>0</v>
      </c>
      <c r="P19" s="289">
        <v>1</v>
      </c>
      <c r="Q19" s="291">
        <f>P19*200</f>
        <v>200</v>
      </c>
      <c r="R19" s="289">
        <v>1</v>
      </c>
      <c r="S19" s="291">
        <v>350</v>
      </c>
      <c r="T19" s="289"/>
      <c r="U19" s="291"/>
      <c r="V19" s="289">
        <v>10</v>
      </c>
      <c r="W19" s="291">
        <f>C19*V19</f>
        <v>477</v>
      </c>
      <c r="X19" s="292">
        <v>10</v>
      </c>
      <c r="Y19" s="219">
        <v>1415</v>
      </c>
      <c r="Z19" s="231">
        <v>120</v>
      </c>
      <c r="AA19" s="231">
        <v>0</v>
      </c>
      <c r="AB19" s="231">
        <f>0.34*AP19*(K19-(-10))*(1-0.8)</f>
        <v>5100</v>
      </c>
      <c r="AC19" s="229">
        <f>SUM(Y19:AB19)</f>
        <v>6635</v>
      </c>
      <c r="AD19" s="102">
        <v>52</v>
      </c>
      <c r="AE19" s="102">
        <f>0.34*(AP19)*(35-L19)*(1-0.8)*1.1</f>
        <v>2431</v>
      </c>
      <c r="AF19" s="102">
        <f>ROUNDUP((MAX(X19*C19)),-1)</f>
        <v>480</v>
      </c>
      <c r="AG19" s="102">
        <f>M19*130</f>
        <v>520</v>
      </c>
      <c r="AH19" s="102">
        <v>350</v>
      </c>
      <c r="AI19" s="104">
        <f>SUM(AD19:AH19)</f>
        <v>3833</v>
      </c>
      <c r="AJ19" s="232"/>
      <c r="AK19" s="232">
        <f>AC19</f>
        <v>6635</v>
      </c>
      <c r="AL19" s="228"/>
      <c r="AM19" s="222">
        <f>AI19</f>
        <v>3833</v>
      </c>
      <c r="AN19" s="336">
        <f>M19*60</f>
        <v>240</v>
      </c>
      <c r="AO19" s="337">
        <v>2500</v>
      </c>
      <c r="AP19" s="338">
        <f>MAX(ROUNDUP(AO19,-1),AN19)</f>
        <v>2500</v>
      </c>
      <c r="AQ19" s="105">
        <v>6</v>
      </c>
      <c r="AR19" s="106">
        <f>ROUNDUP((MAX(E19*AQ19)),-1)</f>
        <v>860</v>
      </c>
      <c r="AS19" s="107">
        <f>ROUNDUP(AM19/(0.34*(L19-16)*1.1),-1)</f>
        <v>1710</v>
      </c>
      <c r="AT19" s="239"/>
      <c r="AU19" s="240"/>
      <c r="AV19" s="350"/>
      <c r="AW19" s="378"/>
      <c r="AX19" s="382"/>
      <c r="AY19" s="375"/>
      <c r="AZ19" s="381"/>
      <c r="BA19" s="357"/>
      <c r="BB19" s="350"/>
      <c r="BC19" s="375"/>
      <c r="BD19" s="378"/>
      <c r="BE19" s="250"/>
      <c r="BF19" s="251"/>
      <c r="BG19" s="250"/>
      <c r="BH19" s="251"/>
      <c r="BI19" s="241"/>
      <c r="BJ19" s="108"/>
      <c r="BK19" s="113"/>
      <c r="BL19" s="113">
        <f>AP19</f>
        <v>2500</v>
      </c>
      <c r="BM19" s="114">
        <f>BL19*100/BN19</f>
        <v>100</v>
      </c>
      <c r="BN19" s="115">
        <f>BL19</f>
        <v>2500</v>
      </c>
      <c r="BO19" s="109">
        <f>BN19/E19</f>
        <v>17.470300489168412</v>
      </c>
      <c r="BP19" s="110">
        <f>BN19</f>
        <v>2500</v>
      </c>
      <c r="BQ19" s="18"/>
      <c r="BR19" s="24"/>
      <c r="BS19" s="21"/>
    </row>
    <row r="20" spans="1:71" s="12" customFormat="1" ht="19.5" thickBot="1" x14ac:dyDescent="0.3">
      <c r="B20" s="120" t="s">
        <v>103</v>
      </c>
      <c r="C20" s="121">
        <f>SUM(C19:C19)</f>
        <v>47.7</v>
      </c>
      <c r="D20" s="122"/>
      <c r="E20" s="123">
        <f>SUM(E19:E19)</f>
        <v>143.10000000000002</v>
      </c>
      <c r="F20" s="124"/>
      <c r="G20" s="125"/>
      <c r="H20" s="126"/>
      <c r="I20" s="127"/>
      <c r="J20" s="128"/>
      <c r="K20" s="129"/>
      <c r="L20" s="130"/>
      <c r="M20" s="130"/>
      <c r="N20" s="131"/>
      <c r="O20" s="132"/>
      <c r="P20" s="307"/>
      <c r="Q20" s="298"/>
      <c r="R20" s="307"/>
      <c r="S20" s="299"/>
      <c r="T20" s="307"/>
      <c r="U20" s="299"/>
      <c r="V20" s="307"/>
      <c r="W20" s="299"/>
      <c r="X20" s="306"/>
      <c r="Y20" s="143">
        <f>SUM(Y19:Y19)</f>
        <v>1415</v>
      </c>
      <c r="Z20" s="226">
        <f>SUM(Z19)</f>
        <v>120</v>
      </c>
      <c r="AA20" s="226">
        <f>SUM(AA19)</f>
        <v>0</v>
      </c>
      <c r="AB20" s="226">
        <f>SUM(AB19)</f>
        <v>5100</v>
      </c>
      <c r="AC20" s="226">
        <f>SUM(AC19)</f>
        <v>6635</v>
      </c>
      <c r="AD20" s="134">
        <f>SUM(AD19:AD19)</f>
        <v>52</v>
      </c>
      <c r="AE20" s="134">
        <f>SUM(AE15:AE19)</f>
        <v>2431</v>
      </c>
      <c r="AF20" s="134">
        <f>SUM(AF15:AF19)</f>
        <v>480</v>
      </c>
      <c r="AG20" s="134">
        <f>SUM(AG15:AG19)</f>
        <v>520</v>
      </c>
      <c r="AH20" s="134">
        <f>SUM(AH15:AH19)</f>
        <v>350</v>
      </c>
      <c r="AI20" s="135">
        <f>SUM(AI19:AI19)</f>
        <v>3833</v>
      </c>
      <c r="AJ20" s="144"/>
      <c r="AK20" s="226">
        <f>SUM(AK19)</f>
        <v>6635</v>
      </c>
      <c r="AL20" s="227"/>
      <c r="AM20" s="135">
        <f>SUM(AM19:AM19)</f>
        <v>3833</v>
      </c>
      <c r="AN20" s="342">
        <f>SUM(AN15:AN19)</f>
        <v>240</v>
      </c>
      <c r="AO20" s="343"/>
      <c r="AP20" s="344">
        <f>SUM(AP15:AP19)</f>
        <v>2500</v>
      </c>
      <c r="AQ20" s="136"/>
      <c r="AR20" s="137"/>
      <c r="AS20" s="138"/>
      <c r="AT20" s="242"/>
      <c r="AU20" s="243"/>
      <c r="AV20" s="351"/>
      <c r="AW20" s="252"/>
      <c r="AX20" s="356"/>
      <c r="AY20" s="380"/>
      <c r="AZ20" s="380"/>
      <c r="BA20" s="356"/>
      <c r="BB20" s="356"/>
      <c r="BC20" s="380"/>
      <c r="BD20" s="352"/>
      <c r="BE20" s="252"/>
      <c r="BF20" s="253"/>
      <c r="BG20" s="252"/>
      <c r="BH20" s="253"/>
      <c r="BI20" s="244"/>
      <c r="BJ20" s="139"/>
      <c r="BK20" s="145"/>
      <c r="BL20" s="146">
        <f>SUM(BL19:BL19)</f>
        <v>2500</v>
      </c>
      <c r="BM20" s="145">
        <f>BL20*100/BN20</f>
        <v>100</v>
      </c>
      <c r="BN20" s="146">
        <f>SUM(BN19:BN19)</f>
        <v>2500</v>
      </c>
      <c r="BO20" s="145">
        <f>BN20/E20</f>
        <v>17.470300489168412</v>
      </c>
      <c r="BP20" s="148">
        <f>SUM(BP19:BP19)</f>
        <v>2500</v>
      </c>
      <c r="BQ20" s="18"/>
      <c r="BR20" s="24"/>
      <c r="BS20" s="21"/>
    </row>
    <row r="21" spans="1:71" s="12" customFormat="1" ht="19.5" thickBot="1" x14ac:dyDescent="0.3">
      <c r="B21" s="13"/>
      <c r="C21" s="22"/>
      <c r="D21" s="15"/>
      <c r="E21" s="23"/>
      <c r="F21" s="23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24"/>
      <c r="BS21" s="21"/>
    </row>
    <row r="22" spans="1:71" s="12" customFormat="1" ht="19.5" customHeight="1" thickTop="1" x14ac:dyDescent="0.25">
      <c r="B22" s="427" t="s">
        <v>108</v>
      </c>
      <c r="C22" s="412" t="s">
        <v>29</v>
      </c>
      <c r="D22" s="413"/>
      <c r="E22" s="413"/>
      <c r="F22" s="414"/>
      <c r="G22" s="442" t="s">
        <v>30</v>
      </c>
      <c r="H22" s="443"/>
      <c r="I22" s="443"/>
      <c r="J22" s="444"/>
      <c r="K22" s="418" t="s">
        <v>31</v>
      </c>
      <c r="L22" s="419"/>
      <c r="M22" s="419"/>
      <c r="N22" s="419"/>
      <c r="O22" s="420"/>
      <c r="P22" s="435" t="s">
        <v>200</v>
      </c>
      <c r="Q22" s="435"/>
      <c r="R22" s="435"/>
      <c r="S22" s="435"/>
      <c r="T22" s="435"/>
      <c r="U22" s="435"/>
      <c r="V22" s="435"/>
      <c r="W22" s="435"/>
      <c r="X22" s="436"/>
      <c r="Y22" s="412" t="s">
        <v>205</v>
      </c>
      <c r="Z22" s="413"/>
      <c r="AA22" s="413"/>
      <c r="AB22" s="413"/>
      <c r="AC22" s="413"/>
      <c r="AD22" s="413"/>
      <c r="AE22" s="413"/>
      <c r="AF22" s="413"/>
      <c r="AG22" s="413"/>
      <c r="AH22" s="413"/>
      <c r="AI22" s="414"/>
      <c r="AJ22" s="412" t="s">
        <v>33</v>
      </c>
      <c r="AK22" s="413"/>
      <c r="AL22" s="413"/>
      <c r="AM22" s="414"/>
      <c r="AN22" s="418" t="s">
        <v>34</v>
      </c>
      <c r="AO22" s="419"/>
      <c r="AP22" s="420"/>
      <c r="AQ22" s="418" t="s">
        <v>230</v>
      </c>
      <c r="AR22" s="419"/>
      <c r="AS22" s="420"/>
      <c r="AT22" s="412" t="s">
        <v>35</v>
      </c>
      <c r="AU22" s="413"/>
      <c r="AV22" s="413"/>
      <c r="AW22" s="414"/>
      <c r="AX22" s="412" t="s">
        <v>36</v>
      </c>
      <c r="AY22" s="413"/>
      <c r="AZ22" s="413"/>
      <c r="BA22" s="413"/>
      <c r="BB22" s="413"/>
      <c r="BC22" s="414"/>
      <c r="BD22" s="418" t="s">
        <v>32</v>
      </c>
      <c r="BE22" s="419"/>
      <c r="BF22" s="419"/>
      <c r="BG22" s="419"/>
      <c r="BH22" s="419"/>
      <c r="BI22" s="420"/>
      <c r="BJ22" s="424" t="s">
        <v>37</v>
      </c>
      <c r="BK22" s="425"/>
      <c r="BL22" s="425"/>
      <c r="BM22" s="425"/>
      <c r="BN22" s="425"/>
      <c r="BO22" s="425"/>
      <c r="BP22" s="426"/>
      <c r="BQ22" s="18"/>
      <c r="BR22" s="24"/>
      <c r="BS22" s="21"/>
    </row>
    <row r="23" spans="1:71" s="12" customFormat="1" ht="18.75" x14ac:dyDescent="0.25">
      <c r="B23" s="428"/>
      <c r="C23" s="415"/>
      <c r="D23" s="416"/>
      <c r="E23" s="416"/>
      <c r="F23" s="417"/>
      <c r="G23" s="432"/>
      <c r="H23" s="433"/>
      <c r="I23" s="433"/>
      <c r="J23" s="434"/>
      <c r="K23" s="421"/>
      <c r="L23" s="422"/>
      <c r="M23" s="422"/>
      <c r="N23" s="422"/>
      <c r="O23" s="423"/>
      <c r="P23" s="404" t="s">
        <v>206</v>
      </c>
      <c r="Q23" s="404"/>
      <c r="R23" s="404"/>
      <c r="S23" s="404"/>
      <c r="T23" s="404"/>
      <c r="U23" s="404"/>
      <c r="V23" s="404"/>
      <c r="W23" s="405"/>
      <c r="X23" s="218" t="s">
        <v>38</v>
      </c>
      <c r="Y23" s="415"/>
      <c r="Z23" s="416"/>
      <c r="AA23" s="416"/>
      <c r="AB23" s="416"/>
      <c r="AC23" s="416"/>
      <c r="AD23" s="416"/>
      <c r="AE23" s="416"/>
      <c r="AF23" s="416"/>
      <c r="AG23" s="416"/>
      <c r="AH23" s="416"/>
      <c r="AI23" s="417"/>
      <c r="AJ23" s="415"/>
      <c r="AK23" s="416"/>
      <c r="AL23" s="416"/>
      <c r="AM23" s="417"/>
      <c r="AN23" s="421"/>
      <c r="AO23" s="422"/>
      <c r="AP23" s="423"/>
      <c r="AQ23" s="421"/>
      <c r="AR23" s="422"/>
      <c r="AS23" s="423"/>
      <c r="AT23" s="415"/>
      <c r="AU23" s="416"/>
      <c r="AV23" s="416"/>
      <c r="AW23" s="417"/>
      <c r="AX23" s="415"/>
      <c r="AY23" s="416"/>
      <c r="AZ23" s="416"/>
      <c r="BA23" s="416"/>
      <c r="BB23" s="416"/>
      <c r="BC23" s="417"/>
      <c r="BD23" s="421"/>
      <c r="BE23" s="422"/>
      <c r="BF23" s="422"/>
      <c r="BG23" s="422"/>
      <c r="BH23" s="422"/>
      <c r="BI23" s="423"/>
      <c r="BJ23" s="406" t="s">
        <v>109</v>
      </c>
      <c r="BK23" s="407"/>
      <c r="BL23" s="408" t="s">
        <v>40</v>
      </c>
      <c r="BM23" s="407"/>
      <c r="BN23" s="408" t="s">
        <v>41</v>
      </c>
      <c r="BO23" s="407"/>
      <c r="BP23" s="25" t="s">
        <v>42</v>
      </c>
      <c r="BQ23" s="18"/>
      <c r="BR23" s="24"/>
      <c r="BS23" s="21"/>
    </row>
    <row r="24" spans="1:71" s="12" customFormat="1" ht="96" customHeight="1" x14ac:dyDescent="0.25">
      <c r="B24" s="26" t="s">
        <v>110</v>
      </c>
      <c r="C24" s="27" t="s">
        <v>44</v>
      </c>
      <c r="D24" s="28" t="s">
        <v>45</v>
      </c>
      <c r="E24" s="29" t="s">
        <v>46</v>
      </c>
      <c r="F24" s="30" t="s">
        <v>47</v>
      </c>
      <c r="G24" s="31" t="s">
        <v>48</v>
      </c>
      <c r="H24" s="32" t="s">
        <v>49</v>
      </c>
      <c r="I24" s="33" t="s">
        <v>50</v>
      </c>
      <c r="J24" s="34" t="s">
        <v>51</v>
      </c>
      <c r="K24" s="35" t="s">
        <v>52</v>
      </c>
      <c r="L24" s="36" t="s">
        <v>53</v>
      </c>
      <c r="M24" s="37" t="s">
        <v>54</v>
      </c>
      <c r="N24" s="38" t="s">
        <v>55</v>
      </c>
      <c r="O24" s="39" t="s">
        <v>56</v>
      </c>
      <c r="P24" s="393" t="s">
        <v>221</v>
      </c>
      <c r="Q24" s="394"/>
      <c r="R24" s="393" t="s">
        <v>222</v>
      </c>
      <c r="S24" s="394"/>
      <c r="T24" s="399" t="s">
        <v>239</v>
      </c>
      <c r="U24" s="400"/>
      <c r="V24" s="393" t="s">
        <v>220</v>
      </c>
      <c r="W24" s="394"/>
      <c r="X24" s="302" t="s">
        <v>57</v>
      </c>
      <c r="Y24" s="48" t="s">
        <v>204</v>
      </c>
      <c r="Z24" s="49" t="s">
        <v>211</v>
      </c>
      <c r="AA24" s="49" t="s">
        <v>212</v>
      </c>
      <c r="AB24" s="49" t="s">
        <v>58</v>
      </c>
      <c r="AC24" s="49" t="s">
        <v>59</v>
      </c>
      <c r="AD24" s="40" t="s">
        <v>195</v>
      </c>
      <c r="AE24" s="40" t="s">
        <v>60</v>
      </c>
      <c r="AF24" s="40" t="s">
        <v>189</v>
      </c>
      <c r="AG24" s="40" t="s">
        <v>203</v>
      </c>
      <c r="AH24" s="40" t="s">
        <v>202</v>
      </c>
      <c r="AI24" s="41" t="s">
        <v>61</v>
      </c>
      <c r="AJ24" s="49" t="s">
        <v>208</v>
      </c>
      <c r="AK24" s="49" t="s">
        <v>207</v>
      </c>
      <c r="AL24" s="40" t="s">
        <v>209</v>
      </c>
      <c r="AM24" s="220" t="s">
        <v>210</v>
      </c>
      <c r="AN24" s="330" t="s">
        <v>64</v>
      </c>
      <c r="AO24" s="331" t="s">
        <v>65</v>
      </c>
      <c r="AP24" s="332" t="s">
        <v>73</v>
      </c>
      <c r="AQ24" s="42" t="s">
        <v>62</v>
      </c>
      <c r="AR24" s="43" t="s">
        <v>63</v>
      </c>
      <c r="AS24" s="44" t="s">
        <v>216</v>
      </c>
      <c r="AT24" s="46" t="s">
        <v>56</v>
      </c>
      <c r="AU24" s="47" t="s">
        <v>66</v>
      </c>
      <c r="AV24" s="47" t="s">
        <v>67</v>
      </c>
      <c r="AW24" s="358" t="s">
        <v>224</v>
      </c>
      <c r="AX24" s="363" t="s">
        <v>226</v>
      </c>
      <c r="AY24" s="367" t="s">
        <v>68</v>
      </c>
      <c r="AZ24" s="367" t="s">
        <v>69</v>
      </c>
      <c r="BA24" s="367" t="s">
        <v>235</v>
      </c>
      <c r="BB24" s="367" t="s">
        <v>70</v>
      </c>
      <c r="BC24" s="372" t="s">
        <v>229</v>
      </c>
      <c r="BD24" s="437" t="s">
        <v>197</v>
      </c>
      <c r="BE24" s="438"/>
      <c r="BF24" s="439" t="s">
        <v>199</v>
      </c>
      <c r="BG24" s="440"/>
      <c r="BH24" s="439" t="s">
        <v>198</v>
      </c>
      <c r="BI24" s="441"/>
      <c r="BJ24" s="50" t="s">
        <v>71</v>
      </c>
      <c r="BK24" s="51" t="s">
        <v>72</v>
      </c>
      <c r="BL24" s="52" t="s">
        <v>73</v>
      </c>
      <c r="BM24" s="53" t="s">
        <v>74</v>
      </c>
      <c r="BN24" s="52" t="s">
        <v>75</v>
      </c>
      <c r="BO24" s="54" t="s">
        <v>76</v>
      </c>
      <c r="BP24" s="45" t="s">
        <v>77</v>
      </c>
      <c r="BQ24" s="18"/>
      <c r="BR24" s="24"/>
      <c r="BS24" s="21"/>
    </row>
    <row r="25" spans="1:71" s="55" customFormat="1" ht="18" thickBot="1" x14ac:dyDescent="0.3">
      <c r="A25" s="55" t="s">
        <v>78</v>
      </c>
      <c r="B25" s="56" t="s">
        <v>79</v>
      </c>
      <c r="C25" s="57" t="s">
        <v>80</v>
      </c>
      <c r="D25" s="58" t="s">
        <v>81</v>
      </c>
      <c r="E25" s="59" t="s">
        <v>82</v>
      </c>
      <c r="F25" s="60"/>
      <c r="G25" s="61" t="s">
        <v>83</v>
      </c>
      <c r="H25" s="62" t="s">
        <v>83</v>
      </c>
      <c r="I25" s="63" t="s">
        <v>83</v>
      </c>
      <c r="J25" s="64" t="s">
        <v>83</v>
      </c>
      <c r="K25" s="65" t="s">
        <v>84</v>
      </c>
      <c r="L25" s="66" t="s">
        <v>84</v>
      </c>
      <c r="M25" s="67" t="s">
        <v>85</v>
      </c>
      <c r="N25" s="68" t="s">
        <v>86</v>
      </c>
      <c r="O25" s="69" t="s">
        <v>87</v>
      </c>
      <c r="P25" s="293" t="s">
        <v>85</v>
      </c>
      <c r="Q25" s="296" t="s">
        <v>88</v>
      </c>
      <c r="R25" s="293" t="s">
        <v>85</v>
      </c>
      <c r="S25" s="296" t="s">
        <v>88</v>
      </c>
      <c r="T25" s="293" t="s">
        <v>85</v>
      </c>
      <c r="U25" s="296" t="s">
        <v>88</v>
      </c>
      <c r="V25" s="293" t="s">
        <v>201</v>
      </c>
      <c r="W25" s="296" t="s">
        <v>88</v>
      </c>
      <c r="X25" s="305" t="s">
        <v>201</v>
      </c>
      <c r="Y25" s="78" t="s">
        <v>83</v>
      </c>
      <c r="Z25" s="225" t="s">
        <v>83</v>
      </c>
      <c r="AA25" s="225" t="s">
        <v>83</v>
      </c>
      <c r="AB25" s="225" t="s">
        <v>83</v>
      </c>
      <c r="AC25" s="225" t="s">
        <v>83</v>
      </c>
      <c r="AD25" s="70" t="s">
        <v>83</v>
      </c>
      <c r="AE25" s="70" t="s">
        <v>83</v>
      </c>
      <c r="AF25" s="70" t="s">
        <v>83</v>
      </c>
      <c r="AG25" s="70" t="s">
        <v>83</v>
      </c>
      <c r="AH25" s="70" t="s">
        <v>83</v>
      </c>
      <c r="AI25" s="71" t="s">
        <v>83</v>
      </c>
      <c r="AJ25" s="79" t="s">
        <v>83</v>
      </c>
      <c r="AK25" s="79" t="s">
        <v>83</v>
      </c>
      <c r="AL25" s="70" t="s">
        <v>83</v>
      </c>
      <c r="AM25" s="223" t="s">
        <v>83</v>
      </c>
      <c r="AN25" s="333" t="s">
        <v>89</v>
      </c>
      <c r="AO25" s="334" t="s">
        <v>93</v>
      </c>
      <c r="AP25" s="335" t="s">
        <v>89</v>
      </c>
      <c r="AQ25" s="72" t="s">
        <v>90</v>
      </c>
      <c r="AR25" s="73" t="s">
        <v>89</v>
      </c>
      <c r="AS25" s="74" t="s">
        <v>89</v>
      </c>
      <c r="AT25" s="76" t="s">
        <v>87</v>
      </c>
      <c r="AU25" s="77"/>
      <c r="AV25" s="77" t="s">
        <v>89</v>
      </c>
      <c r="AW25" s="359" t="s">
        <v>89</v>
      </c>
      <c r="AX25" s="364" t="s">
        <v>91</v>
      </c>
      <c r="AY25" s="368" t="s">
        <v>89</v>
      </c>
      <c r="AZ25" s="368" t="s">
        <v>92</v>
      </c>
      <c r="BA25" s="368" t="s">
        <v>93</v>
      </c>
      <c r="BB25" s="368" t="s">
        <v>89</v>
      </c>
      <c r="BC25" s="373" t="s">
        <v>89</v>
      </c>
      <c r="BD25" s="309" t="s">
        <v>85</v>
      </c>
      <c r="BE25" s="310" t="s">
        <v>89</v>
      </c>
      <c r="BF25" s="311" t="s">
        <v>85</v>
      </c>
      <c r="BG25" s="312" t="s">
        <v>89</v>
      </c>
      <c r="BH25" s="311" t="s">
        <v>85</v>
      </c>
      <c r="BI25" s="313" t="s">
        <v>89</v>
      </c>
      <c r="BJ25" s="80" t="s">
        <v>89</v>
      </c>
      <c r="BK25" s="81" t="s">
        <v>89</v>
      </c>
      <c r="BL25" s="81" t="s">
        <v>89</v>
      </c>
      <c r="BM25" s="81" t="s">
        <v>86</v>
      </c>
      <c r="BN25" s="75" t="s">
        <v>89</v>
      </c>
      <c r="BO25" s="82" t="s">
        <v>90</v>
      </c>
      <c r="BP25" s="83" t="s">
        <v>89</v>
      </c>
      <c r="BQ25" s="84" t="s">
        <v>94</v>
      </c>
      <c r="BR25" s="85" t="s">
        <v>84</v>
      </c>
      <c r="BS25" s="86" t="s">
        <v>84</v>
      </c>
    </row>
    <row r="26" spans="1:71" s="12" customFormat="1" ht="18.75" x14ac:dyDescent="0.25">
      <c r="B26" s="87" t="s">
        <v>190</v>
      </c>
      <c r="C26" s="88">
        <v>49.37</v>
      </c>
      <c r="D26" s="89">
        <v>3</v>
      </c>
      <c r="E26" s="90">
        <f t="shared" ref="E26:E29" si="6">C26*D26</f>
        <v>148.10999999999999</v>
      </c>
      <c r="F26" s="233"/>
      <c r="G26" s="92">
        <v>0</v>
      </c>
      <c r="H26" s="93"/>
      <c r="I26" s="94">
        <v>0</v>
      </c>
      <c r="J26" s="95"/>
      <c r="K26" s="96">
        <v>20</v>
      </c>
      <c r="L26" s="97">
        <v>22</v>
      </c>
      <c r="M26" s="98">
        <v>6</v>
      </c>
      <c r="N26" s="99" t="s">
        <v>96</v>
      </c>
      <c r="O26" s="100"/>
      <c r="P26" s="289">
        <v>2</v>
      </c>
      <c r="Q26" s="291">
        <f>P26*200</f>
        <v>400</v>
      </c>
      <c r="R26" s="289"/>
      <c r="S26" s="291"/>
      <c r="T26" s="289"/>
      <c r="U26" s="291"/>
      <c r="V26" s="289">
        <v>10</v>
      </c>
      <c r="W26" s="291">
        <f t="shared" ref="W26:W34" si="7">C26*V26</f>
        <v>493.7</v>
      </c>
      <c r="X26" s="292">
        <v>10</v>
      </c>
      <c r="Y26" s="219">
        <v>900</v>
      </c>
      <c r="Z26" s="231">
        <v>210</v>
      </c>
      <c r="AA26" s="231">
        <f t="shared" ref="AA26:AA34" si="8">16*C26</f>
        <v>789.92</v>
      </c>
      <c r="AB26" s="231">
        <f>0.34*AP26*(K26-(-10))*(1-0.8)</f>
        <v>775.19999999999993</v>
      </c>
      <c r="AC26" s="229">
        <f>SUM(Y26:AB26)</f>
        <v>2675.12</v>
      </c>
      <c r="AD26" s="102">
        <v>353</v>
      </c>
      <c r="AE26" s="102">
        <f>0.34*(AP26)*(35-L26)*(1-0.8)*1.1</f>
        <v>369.512</v>
      </c>
      <c r="AF26" s="102">
        <f t="shared" ref="AF26:AF34" si="9">ROUNDUP((MAX(X26*C26)),-1)</f>
        <v>500</v>
      </c>
      <c r="AG26" s="102">
        <f t="shared" ref="AG26:AG34" si="10">M26*130</f>
        <v>780</v>
      </c>
      <c r="AH26" s="102">
        <f t="shared" ref="AH26:AH34" si="11">Q26+S26+U26+W26</f>
        <v>893.7</v>
      </c>
      <c r="AI26" s="104">
        <f>SUM(AD26:AH26)</f>
        <v>2896.212</v>
      </c>
      <c r="AJ26" s="232">
        <f>(Y26+Z26+AA26)</f>
        <v>1899.92</v>
      </c>
      <c r="AK26" s="232">
        <f>AB26</f>
        <v>775.19999999999993</v>
      </c>
      <c r="AL26" s="221">
        <f>AD26+AE26+AF26+AG26+AH26</f>
        <v>2896.212</v>
      </c>
      <c r="AM26" s="228"/>
      <c r="AN26" s="336">
        <f t="shared" ref="AN26:AN34" si="12">M26*60</f>
        <v>360</v>
      </c>
      <c r="AO26" s="337">
        <v>2.5</v>
      </c>
      <c r="AP26" s="338">
        <f t="shared" ref="AP26:AP34" si="13">MAX(ROUNDUP(E26*AO26,-1),AN26)</f>
        <v>380</v>
      </c>
      <c r="AQ26" s="105"/>
      <c r="AR26" s="106"/>
      <c r="AS26" s="107" t="s">
        <v>111</v>
      </c>
      <c r="AT26" s="111"/>
      <c r="AU26" s="112"/>
      <c r="AV26" s="361"/>
      <c r="AW26" s="360"/>
      <c r="AX26" s="365"/>
      <c r="AY26" s="369"/>
      <c r="AZ26" s="371"/>
      <c r="BA26" s="369"/>
      <c r="BB26" s="369"/>
      <c r="BC26" s="369"/>
      <c r="BD26" s="314"/>
      <c r="BE26" s="315"/>
      <c r="BF26" s="316"/>
      <c r="BG26" s="315"/>
      <c r="BH26" s="316"/>
      <c r="BI26" s="234"/>
      <c r="BJ26" s="108">
        <f>BE26+BG26+BI26</f>
        <v>0</v>
      </c>
      <c r="BK26" s="113">
        <f>0.9*BJ26</f>
        <v>0</v>
      </c>
      <c r="BL26" s="113">
        <f>MAX(AN26,AP26)</f>
        <v>380</v>
      </c>
      <c r="BM26" s="114">
        <f t="shared" ref="BM26" si="14">BL26*100/BN26</f>
        <v>100</v>
      </c>
      <c r="BN26" s="113">
        <f t="shared" ref="BN26" si="15">BL26</f>
        <v>380</v>
      </c>
      <c r="BO26" s="109">
        <f t="shared" ref="BO26:BO34" si="16">BN26/E26</f>
        <v>2.565660657619337</v>
      </c>
      <c r="BP26" s="110">
        <f t="shared" ref="BP26" si="17">BL26</f>
        <v>380</v>
      </c>
      <c r="BQ26" s="18"/>
      <c r="BR26" s="24"/>
      <c r="BS26" s="21"/>
    </row>
    <row r="27" spans="1:71" s="12" customFormat="1" ht="18.75" x14ac:dyDescent="0.25">
      <c r="B27" s="87" t="s">
        <v>191</v>
      </c>
      <c r="C27" s="88">
        <v>46.31</v>
      </c>
      <c r="D27" s="89">
        <v>3</v>
      </c>
      <c r="E27" s="90">
        <f t="shared" si="6"/>
        <v>138.93</v>
      </c>
      <c r="F27" s="233"/>
      <c r="G27" s="92"/>
      <c r="H27" s="93"/>
      <c r="I27" s="94"/>
      <c r="J27" s="95"/>
      <c r="K27" s="96">
        <v>20</v>
      </c>
      <c r="L27" s="97">
        <v>22</v>
      </c>
      <c r="M27" s="98">
        <v>6</v>
      </c>
      <c r="N27" s="99" t="s">
        <v>194</v>
      </c>
      <c r="O27" s="100"/>
      <c r="P27" s="289">
        <v>2</v>
      </c>
      <c r="Q27" s="291">
        <f>P27*200</f>
        <v>400</v>
      </c>
      <c r="R27" s="289">
        <v>1</v>
      </c>
      <c r="S27" s="291">
        <v>300</v>
      </c>
      <c r="T27" s="289"/>
      <c r="U27" s="291"/>
      <c r="V27" s="289">
        <v>10</v>
      </c>
      <c r="W27" s="291">
        <f t="shared" si="7"/>
        <v>463.1</v>
      </c>
      <c r="X27" s="292">
        <v>10</v>
      </c>
      <c r="Y27" s="219">
        <v>875</v>
      </c>
      <c r="Z27" s="231">
        <v>205</v>
      </c>
      <c r="AA27" s="231">
        <f t="shared" si="8"/>
        <v>740.96</v>
      </c>
      <c r="AB27" s="231">
        <f>0.34*AP27*(K27-(-10))*(1-0.8)</f>
        <v>734.39999999999986</v>
      </c>
      <c r="AC27" s="229">
        <f t="shared" ref="AC27:AC34" si="18">SUM(Y27:AB27)</f>
        <v>2555.3599999999997</v>
      </c>
      <c r="AD27" s="102">
        <v>345</v>
      </c>
      <c r="AE27" s="102">
        <f>0.34*(AP27)*(35-L27)*(1-0.8)*1.1</f>
        <v>350.06399999999996</v>
      </c>
      <c r="AF27" s="102">
        <f t="shared" si="9"/>
        <v>470</v>
      </c>
      <c r="AG27" s="102">
        <f t="shared" si="10"/>
        <v>780</v>
      </c>
      <c r="AH27" s="102">
        <f t="shared" si="11"/>
        <v>1163.0999999999999</v>
      </c>
      <c r="AI27" s="104">
        <f>SUM(AD27:AH27)</f>
        <v>3108.1639999999998</v>
      </c>
      <c r="AJ27" s="232">
        <f t="shared" ref="AJ27:AJ34" si="19">(Y27+Z27+AA27)</f>
        <v>1820.96</v>
      </c>
      <c r="AK27" s="232">
        <f t="shared" ref="AK27:AK34" si="20">AB27</f>
        <v>734.39999999999986</v>
      </c>
      <c r="AL27" s="221">
        <f t="shared" ref="AL27:AL34" si="21">AD27+AE27+AF27+AG27+AH27</f>
        <v>3108.1639999999998</v>
      </c>
      <c r="AM27" s="228"/>
      <c r="AN27" s="336">
        <f t="shared" si="12"/>
        <v>360</v>
      </c>
      <c r="AO27" s="337">
        <v>2.5</v>
      </c>
      <c r="AP27" s="338">
        <f t="shared" si="13"/>
        <v>360</v>
      </c>
      <c r="AQ27" s="105"/>
      <c r="AR27" s="106"/>
      <c r="AS27" s="107" t="s">
        <v>111</v>
      </c>
      <c r="AT27" s="111"/>
      <c r="AU27" s="112"/>
      <c r="AV27" s="361"/>
      <c r="AW27" s="360"/>
      <c r="AX27" s="365"/>
      <c r="AY27" s="369"/>
      <c r="AZ27" s="371"/>
      <c r="BA27" s="369"/>
      <c r="BB27" s="369"/>
      <c r="BC27" s="369"/>
      <c r="BD27" s="314"/>
      <c r="BE27" s="315"/>
      <c r="BF27" s="316">
        <v>1</v>
      </c>
      <c r="BG27" s="315">
        <f>BF27*800</f>
        <v>800</v>
      </c>
      <c r="BH27" s="316"/>
      <c r="BI27" s="234"/>
      <c r="BJ27" s="108">
        <f>BE27+BG27+BI27</f>
        <v>800</v>
      </c>
      <c r="BK27" s="113">
        <f>0.9*BJ27</f>
        <v>720</v>
      </c>
      <c r="BL27" s="113">
        <f>MAX(AN27,AP27)</f>
        <v>360</v>
      </c>
      <c r="BM27" s="114">
        <f t="shared" ref="BM27" si="22">BL27*100/BN27</f>
        <v>100</v>
      </c>
      <c r="BN27" s="113">
        <f t="shared" ref="BN27" si="23">BL27</f>
        <v>360</v>
      </c>
      <c r="BO27" s="109">
        <f t="shared" si="16"/>
        <v>2.59123299503347</v>
      </c>
      <c r="BP27" s="110">
        <f t="shared" ref="BP27" si="24">BL27</f>
        <v>360</v>
      </c>
      <c r="BQ27" s="18"/>
      <c r="BR27" s="24"/>
      <c r="BS27" s="21"/>
    </row>
    <row r="28" spans="1:71" s="288" customFormat="1" x14ac:dyDescent="0.25">
      <c r="A28" s="254" t="s">
        <v>97</v>
      </c>
      <c r="B28" s="261" t="s">
        <v>192</v>
      </c>
      <c r="C28" s="273">
        <v>38.9</v>
      </c>
      <c r="D28" s="257">
        <v>3</v>
      </c>
      <c r="E28" s="255">
        <f t="shared" si="6"/>
        <v>116.69999999999999</v>
      </c>
      <c r="F28" s="258"/>
      <c r="G28" s="263">
        <v>0</v>
      </c>
      <c r="H28" s="267"/>
      <c r="I28" s="271">
        <v>0</v>
      </c>
      <c r="J28" s="270"/>
      <c r="K28" s="272">
        <v>20</v>
      </c>
      <c r="L28" s="269">
        <v>22</v>
      </c>
      <c r="M28" s="259">
        <v>4</v>
      </c>
      <c r="N28" s="262" t="s">
        <v>96</v>
      </c>
      <c r="O28" s="268"/>
      <c r="P28" s="290">
        <v>2</v>
      </c>
      <c r="Q28" s="304">
        <f>P28*200</f>
        <v>400</v>
      </c>
      <c r="R28" s="290">
        <v>1</v>
      </c>
      <c r="S28" s="304">
        <v>300</v>
      </c>
      <c r="T28" s="290"/>
      <c r="U28" s="304"/>
      <c r="V28" s="290">
        <v>10</v>
      </c>
      <c r="W28" s="304">
        <f t="shared" si="7"/>
        <v>389</v>
      </c>
      <c r="X28" s="308">
        <v>10</v>
      </c>
      <c r="Y28" s="260">
        <f>25*C28</f>
        <v>972.5</v>
      </c>
      <c r="Z28" s="274">
        <f>1.5*E28</f>
        <v>175.04999999999998</v>
      </c>
      <c r="AA28" s="274">
        <f t="shared" si="8"/>
        <v>622.4</v>
      </c>
      <c r="AB28" s="274">
        <f>0.34*AP28*(K28-(-10))*(1-0.8)</f>
        <v>612</v>
      </c>
      <c r="AC28" s="275">
        <f t="shared" si="18"/>
        <v>2381.9499999999998</v>
      </c>
      <c r="AD28" s="276">
        <f>C28*10</f>
        <v>389</v>
      </c>
      <c r="AE28" s="276">
        <f>0.34*(AP28)*(35-L28)*(1-0.8)*1.1</f>
        <v>291.72000000000003</v>
      </c>
      <c r="AF28" s="276">
        <f t="shared" si="9"/>
        <v>390</v>
      </c>
      <c r="AG28" s="276">
        <f t="shared" si="10"/>
        <v>520</v>
      </c>
      <c r="AH28" s="276">
        <f t="shared" si="11"/>
        <v>1089</v>
      </c>
      <c r="AI28" s="277">
        <f t="shared" ref="AI28:AI29" si="25">SUM(AD28:AH28)</f>
        <v>2679.7200000000003</v>
      </c>
      <c r="AJ28" s="278">
        <f t="shared" si="19"/>
        <v>1769.9499999999998</v>
      </c>
      <c r="AK28" s="278">
        <f t="shared" si="20"/>
        <v>612</v>
      </c>
      <c r="AL28" s="279">
        <f>AD28+AE28+AF28+AG28+AH28</f>
        <v>2679.7200000000003</v>
      </c>
      <c r="AM28" s="280"/>
      <c r="AN28" s="339">
        <f t="shared" si="12"/>
        <v>240</v>
      </c>
      <c r="AO28" s="340">
        <v>2.5</v>
      </c>
      <c r="AP28" s="341">
        <f t="shared" si="13"/>
        <v>300</v>
      </c>
      <c r="AQ28" s="281"/>
      <c r="AR28" s="282"/>
      <c r="AS28" s="283" t="s">
        <v>111</v>
      </c>
      <c r="AT28" s="111"/>
      <c r="AU28" s="112"/>
      <c r="AV28" s="361"/>
      <c r="AW28" s="360"/>
      <c r="AX28" s="365"/>
      <c r="AY28" s="369"/>
      <c r="AZ28" s="371"/>
      <c r="BA28" s="369"/>
      <c r="BB28" s="369"/>
      <c r="BC28" s="369"/>
      <c r="BD28" s="317"/>
      <c r="BE28" s="318"/>
      <c r="BF28" s="319">
        <v>1</v>
      </c>
      <c r="BG28" s="318">
        <f>BF28*800</f>
        <v>800</v>
      </c>
      <c r="BH28" s="319"/>
      <c r="BI28" s="320"/>
      <c r="BJ28" s="266">
        <f>BE28+BG28+BI28</f>
        <v>800</v>
      </c>
      <c r="BK28" s="284">
        <f>0.9*BJ28</f>
        <v>720</v>
      </c>
      <c r="BL28" s="284">
        <f>MAX(AN28,AP28)</f>
        <v>300</v>
      </c>
      <c r="BM28" s="285">
        <f t="shared" ref="BM28:BM35" si="26">BL28*100/BN28</f>
        <v>100</v>
      </c>
      <c r="BN28" s="284">
        <f t="shared" ref="BN28:BN30" si="27">BL28</f>
        <v>300</v>
      </c>
      <c r="BO28" s="265">
        <f t="shared" si="16"/>
        <v>2.5706940874035991</v>
      </c>
      <c r="BP28" s="256">
        <f t="shared" ref="BP28:BP29" si="28">BL28</f>
        <v>300</v>
      </c>
      <c r="BQ28" s="264" t="e">
        <f>BQ25+1</f>
        <v>#VALUE!</v>
      </c>
      <c r="BR28" s="286">
        <f>25-AI28/0.34/BN28</f>
        <v>-1.2717647058823545</v>
      </c>
      <c r="BS28" s="287">
        <f>K28+(Y28/(0.34*BN28))</f>
        <v>29.534313725490193</v>
      </c>
    </row>
    <row r="29" spans="1:71" s="288" customFormat="1" x14ac:dyDescent="0.25">
      <c r="A29" s="254" t="s">
        <v>97</v>
      </c>
      <c r="B29" s="261" t="s">
        <v>193</v>
      </c>
      <c r="C29" s="273">
        <v>60.4</v>
      </c>
      <c r="D29" s="257">
        <v>3</v>
      </c>
      <c r="E29" s="255">
        <f t="shared" si="6"/>
        <v>181.2</v>
      </c>
      <c r="F29" s="258"/>
      <c r="G29" s="263">
        <v>0</v>
      </c>
      <c r="H29" s="267"/>
      <c r="I29" s="271">
        <v>0</v>
      </c>
      <c r="J29" s="270"/>
      <c r="K29" s="272">
        <v>20</v>
      </c>
      <c r="L29" s="269">
        <v>22</v>
      </c>
      <c r="M29" s="259">
        <v>6</v>
      </c>
      <c r="N29" s="262" t="s">
        <v>96</v>
      </c>
      <c r="O29" s="268"/>
      <c r="P29" s="290">
        <v>3</v>
      </c>
      <c r="Q29" s="304">
        <f>P29*200</f>
        <v>600</v>
      </c>
      <c r="R29" s="290">
        <v>1</v>
      </c>
      <c r="S29" s="304">
        <v>300</v>
      </c>
      <c r="T29" s="290"/>
      <c r="U29" s="304"/>
      <c r="V29" s="290">
        <v>10</v>
      </c>
      <c r="W29" s="304">
        <f t="shared" si="7"/>
        <v>604</v>
      </c>
      <c r="X29" s="308">
        <v>10</v>
      </c>
      <c r="Y29" s="260">
        <f>25*C29</f>
        <v>1510</v>
      </c>
      <c r="Z29" s="274">
        <f>1.5*E29</f>
        <v>271.79999999999995</v>
      </c>
      <c r="AA29" s="274">
        <f t="shared" si="8"/>
        <v>966.4</v>
      </c>
      <c r="AB29" s="274">
        <f>0.34*AP29*(K29-(-10))*(1-0.8)</f>
        <v>938.39999999999975</v>
      </c>
      <c r="AC29" s="275">
        <f t="shared" si="18"/>
        <v>3686.5999999999995</v>
      </c>
      <c r="AD29" s="276">
        <f>C29*10</f>
        <v>604</v>
      </c>
      <c r="AE29" s="276">
        <f>0.34*(AP29)*(35-L29)*(1-0.8)*1.1</f>
        <v>447.30399999999997</v>
      </c>
      <c r="AF29" s="276">
        <f t="shared" si="9"/>
        <v>610</v>
      </c>
      <c r="AG29" s="276">
        <f t="shared" si="10"/>
        <v>780</v>
      </c>
      <c r="AH29" s="276">
        <f t="shared" si="11"/>
        <v>1504</v>
      </c>
      <c r="AI29" s="277">
        <f t="shared" si="25"/>
        <v>3945.3040000000001</v>
      </c>
      <c r="AJ29" s="278">
        <f t="shared" si="19"/>
        <v>2748.2</v>
      </c>
      <c r="AK29" s="278">
        <f t="shared" si="20"/>
        <v>938.39999999999975</v>
      </c>
      <c r="AL29" s="279">
        <f>AD29+AE29+AF29+AG29+AH29</f>
        <v>3945.3040000000001</v>
      </c>
      <c r="AM29" s="280"/>
      <c r="AN29" s="339">
        <f t="shared" si="12"/>
        <v>360</v>
      </c>
      <c r="AO29" s="340">
        <v>2.5</v>
      </c>
      <c r="AP29" s="341">
        <f t="shared" si="13"/>
        <v>460</v>
      </c>
      <c r="AQ29" s="281"/>
      <c r="AR29" s="282"/>
      <c r="AS29" s="283" t="s">
        <v>111</v>
      </c>
      <c r="AT29" s="111"/>
      <c r="AU29" s="112"/>
      <c r="AV29" s="361"/>
      <c r="AW29" s="360"/>
      <c r="AX29" s="365"/>
      <c r="AY29" s="369"/>
      <c r="AZ29" s="371"/>
      <c r="BA29" s="369"/>
      <c r="BB29" s="369"/>
      <c r="BC29" s="369"/>
      <c r="BD29" s="317"/>
      <c r="BE29" s="318"/>
      <c r="BF29" s="319">
        <v>1</v>
      </c>
      <c r="BG29" s="318">
        <f>BF29*800</f>
        <v>800</v>
      </c>
      <c r="BH29" s="319"/>
      <c r="BI29" s="320"/>
      <c r="BJ29" s="266">
        <f>BE29+BG29+BI29</f>
        <v>800</v>
      </c>
      <c r="BK29" s="284">
        <f>0.9*BJ29</f>
        <v>720</v>
      </c>
      <c r="BL29" s="284">
        <f>MAX(AN29,AP29)</f>
        <v>460</v>
      </c>
      <c r="BM29" s="285">
        <f t="shared" si="26"/>
        <v>100</v>
      </c>
      <c r="BN29" s="284">
        <f t="shared" si="27"/>
        <v>460</v>
      </c>
      <c r="BO29" s="265">
        <f t="shared" si="16"/>
        <v>2.5386313465783665</v>
      </c>
      <c r="BP29" s="256">
        <f t="shared" si="28"/>
        <v>460</v>
      </c>
      <c r="BQ29" s="264">
        <f>BQ26+1</f>
        <v>1</v>
      </c>
      <c r="BR29" s="286">
        <f>25-AI29/0.34/BN29</f>
        <v>-0.22572890025575632</v>
      </c>
      <c r="BS29" s="287">
        <f>K29+(Y29/(0.34*BN29))</f>
        <v>29.654731457800509</v>
      </c>
    </row>
    <row r="30" spans="1:71" x14ac:dyDescent="0.25">
      <c r="A30" s="116"/>
      <c r="B30" s="87" t="s">
        <v>135</v>
      </c>
      <c r="C30" s="88">
        <v>41.13</v>
      </c>
      <c r="D30" s="89">
        <v>4.0199999999999996</v>
      </c>
      <c r="E30" s="90">
        <f>C30*D30</f>
        <v>165.3426</v>
      </c>
      <c r="F30" s="91"/>
      <c r="G30" s="92">
        <v>0</v>
      </c>
      <c r="H30" s="93"/>
      <c r="I30" s="94">
        <v>0</v>
      </c>
      <c r="J30" s="95"/>
      <c r="K30" s="96">
        <v>19</v>
      </c>
      <c r="L30" s="97">
        <v>25</v>
      </c>
      <c r="M30" s="98">
        <v>4</v>
      </c>
      <c r="N30" s="99" t="s">
        <v>96</v>
      </c>
      <c r="O30" s="100">
        <v>5</v>
      </c>
      <c r="P30" s="289"/>
      <c r="Q30" s="291"/>
      <c r="R30" s="289"/>
      <c r="S30" s="291"/>
      <c r="T30" s="289">
        <v>2</v>
      </c>
      <c r="U30" s="291">
        <v>500</v>
      </c>
      <c r="V30" s="289">
        <v>10</v>
      </c>
      <c r="W30" s="291">
        <f t="shared" si="7"/>
        <v>411.3</v>
      </c>
      <c r="X30" s="292">
        <v>10</v>
      </c>
      <c r="Y30" s="219">
        <v>1699</v>
      </c>
      <c r="Z30" s="231">
        <v>113</v>
      </c>
      <c r="AA30" s="231">
        <f t="shared" si="8"/>
        <v>658.08</v>
      </c>
      <c r="AB30" s="231">
        <f>0.34*AP30*(K30-(-10))*(1-0.8)</f>
        <v>1971.9999999999995</v>
      </c>
      <c r="AC30" s="229">
        <f t="shared" si="18"/>
        <v>4442.08</v>
      </c>
      <c r="AD30" s="102">
        <v>690</v>
      </c>
      <c r="AE30" s="102">
        <f>0.34*(AP30)*(35-L30)*(1-0.8)*1.1</f>
        <v>747.99999999999989</v>
      </c>
      <c r="AF30" s="102">
        <f t="shared" si="9"/>
        <v>420</v>
      </c>
      <c r="AG30" s="102">
        <f t="shared" si="10"/>
        <v>520</v>
      </c>
      <c r="AH30" s="102">
        <f t="shared" si="11"/>
        <v>911.3</v>
      </c>
      <c r="AI30" s="104">
        <f>SUM(AD30:AH30)</f>
        <v>3289.3</v>
      </c>
      <c r="AJ30" s="232">
        <f t="shared" si="19"/>
        <v>2470.08</v>
      </c>
      <c r="AK30" s="232">
        <f t="shared" si="20"/>
        <v>1971.9999999999995</v>
      </c>
      <c r="AL30" s="221">
        <f t="shared" si="21"/>
        <v>3289.3</v>
      </c>
      <c r="AM30" s="228"/>
      <c r="AN30" s="336">
        <f t="shared" si="12"/>
        <v>240</v>
      </c>
      <c r="AO30" s="337">
        <v>6</v>
      </c>
      <c r="AP30" s="338">
        <f t="shared" si="13"/>
        <v>1000</v>
      </c>
      <c r="AQ30" s="105">
        <v>6</v>
      </c>
      <c r="AR30" s="106">
        <f>ROUNDUP((MAX(E30*AQ30)),-1)</f>
        <v>1000</v>
      </c>
      <c r="AS30" s="107">
        <f>ROUNDUP((AL30+AM30)/(0.34*(L30-18)*1.1),-1)</f>
        <v>1260</v>
      </c>
      <c r="AT30" s="111">
        <v>5</v>
      </c>
      <c r="AU30" s="112">
        <f>(AT30*22.414*(273.15+L30)/(8.314*273.15^2))</f>
        <v>5.3865631503772084E-2</v>
      </c>
      <c r="AV30" s="361">
        <f>AP30*AU30</f>
        <v>53.865631503772086</v>
      </c>
      <c r="AW30" s="360">
        <f>(MAX(AP30+AV30,AS30))</f>
        <v>1260</v>
      </c>
      <c r="AX30" s="365">
        <f>1.8*0.002</f>
        <v>3.6000000000000003E-3</v>
      </c>
      <c r="AY30" s="369">
        <f>1*0.61*AX30*POWER((2*(O30-O31)/1.18),0.5)*3600+1*0.61*AX30*POWER((2*(O30-O8)/1.18),0.5)*3600</f>
        <v>23.014091364986196</v>
      </c>
      <c r="AZ30" s="371">
        <f>AY30/3600/AX30</f>
        <v>1.775778654705725</v>
      </c>
      <c r="BA30" s="369">
        <f>0.25*E30</f>
        <v>41.335650000000001</v>
      </c>
      <c r="BB30" s="369">
        <f>AY30+BA30</f>
        <v>64.349741364986201</v>
      </c>
      <c r="BC30" s="369">
        <f>AW30-BB30</f>
        <v>1195.6502586350139</v>
      </c>
      <c r="BD30" s="314"/>
      <c r="BE30" s="315"/>
      <c r="BF30" s="316"/>
      <c r="BG30" s="315"/>
      <c r="BH30" s="316"/>
      <c r="BI30" s="234"/>
      <c r="BJ30" s="108"/>
      <c r="BK30" s="114"/>
      <c r="BL30" s="113">
        <f>ROUND(AW30+BB30+BJ30+AW31+BB31+BJ31,-1)</f>
        <v>1390</v>
      </c>
      <c r="BM30" s="114">
        <f t="shared" si="26"/>
        <v>100</v>
      </c>
      <c r="BN30" s="113">
        <f t="shared" si="27"/>
        <v>1390</v>
      </c>
      <c r="BO30" s="109">
        <f t="shared" si="16"/>
        <v>8.4067868776709691</v>
      </c>
      <c r="BP30" s="110">
        <f t="shared" ref="BP30" si="29">ROUND(IF(BC30+BJ30&gt;0,(BC30+BJ30),(BC30+BJ30)+BN30),-1)</f>
        <v>1200</v>
      </c>
      <c r="BQ30" s="101"/>
      <c r="BR30" s="117"/>
      <c r="BS30" s="118"/>
    </row>
    <row r="31" spans="1:71" x14ac:dyDescent="0.25">
      <c r="A31" s="116"/>
      <c r="B31" s="87" t="s">
        <v>136</v>
      </c>
      <c r="C31" s="88">
        <v>4</v>
      </c>
      <c r="D31" s="89">
        <v>2.5</v>
      </c>
      <c r="E31" s="90">
        <f>C31*D31</f>
        <v>10</v>
      </c>
      <c r="F31" s="91"/>
      <c r="G31" s="92">
        <v>0</v>
      </c>
      <c r="H31" s="93"/>
      <c r="I31" s="94">
        <v>0</v>
      </c>
      <c r="J31" s="95"/>
      <c r="K31" s="96">
        <v>19</v>
      </c>
      <c r="L31" s="97">
        <v>30</v>
      </c>
      <c r="M31" s="98">
        <v>1</v>
      </c>
      <c r="N31" s="99" t="s">
        <v>96</v>
      </c>
      <c r="O31" s="100">
        <v>5</v>
      </c>
      <c r="P31" s="289"/>
      <c r="Q31" s="291"/>
      <c r="R31" s="289"/>
      <c r="S31" s="291"/>
      <c r="T31" s="289"/>
      <c r="U31" s="291"/>
      <c r="V31" s="289">
        <v>10</v>
      </c>
      <c r="W31" s="291">
        <f t="shared" si="7"/>
        <v>40</v>
      </c>
      <c r="X31" s="292">
        <v>10</v>
      </c>
      <c r="Y31" s="219">
        <v>185</v>
      </c>
      <c r="Z31" s="231">
        <v>34</v>
      </c>
      <c r="AA31" s="231">
        <f t="shared" si="8"/>
        <v>64</v>
      </c>
      <c r="AB31" s="231">
        <f t="shared" ref="AB31:AB34" si="30">0.34*AP31*(K31-(-10))*(1-0.8)</f>
        <v>118.31999999999998</v>
      </c>
      <c r="AC31" s="229">
        <f t="shared" si="18"/>
        <v>401.32</v>
      </c>
      <c r="AD31" s="102">
        <v>67</v>
      </c>
      <c r="AE31" s="102">
        <f>0.34*(AP31)*(35-L31)*(1-0.8)*1.1</f>
        <v>22.44</v>
      </c>
      <c r="AF31" s="102">
        <f t="shared" si="9"/>
        <v>40</v>
      </c>
      <c r="AG31" s="102">
        <f t="shared" si="10"/>
        <v>130</v>
      </c>
      <c r="AH31" s="102">
        <f t="shared" si="11"/>
        <v>40</v>
      </c>
      <c r="AI31" s="104">
        <f>SUM(AD31:AH31)</f>
        <v>299.44</v>
      </c>
      <c r="AJ31" s="232">
        <f t="shared" si="19"/>
        <v>283</v>
      </c>
      <c r="AK31" s="232">
        <f t="shared" si="20"/>
        <v>118.31999999999998</v>
      </c>
      <c r="AL31" s="221">
        <f t="shared" si="21"/>
        <v>299.44</v>
      </c>
      <c r="AM31" s="228"/>
      <c r="AN31" s="336">
        <f t="shared" si="12"/>
        <v>60</v>
      </c>
      <c r="AO31" s="337">
        <v>6</v>
      </c>
      <c r="AP31" s="338">
        <f t="shared" si="13"/>
        <v>60</v>
      </c>
      <c r="AQ31" s="105"/>
      <c r="AR31" s="106"/>
      <c r="AS31" s="107">
        <f>ROUNDUP((AL31+AM31)/(0.34*(L31-18)*1.1),-1)</f>
        <v>70</v>
      </c>
      <c r="AT31" s="111">
        <v>5</v>
      </c>
      <c r="AU31" s="112">
        <f>(AT31*22.414*(273.15+L31)/(8.314*273.15^2))</f>
        <v>5.4768962570412562E-2</v>
      </c>
      <c r="AV31" s="361">
        <f>AP31*AU31</f>
        <v>3.2861377542247538</v>
      </c>
      <c r="AW31" s="360">
        <f>AP31+AV31</f>
        <v>63.286137754224754</v>
      </c>
      <c r="AX31" s="365"/>
      <c r="AY31" s="369"/>
      <c r="AZ31" s="371"/>
      <c r="BA31" s="369"/>
      <c r="BB31" s="369"/>
      <c r="BC31" s="369"/>
      <c r="BD31" s="314"/>
      <c r="BE31" s="315"/>
      <c r="BF31" s="316"/>
      <c r="BG31" s="315"/>
      <c r="BH31" s="316"/>
      <c r="BI31" s="234"/>
      <c r="BJ31" s="108"/>
      <c r="BK31" s="114"/>
      <c r="BL31" s="113"/>
      <c r="BM31" s="114"/>
      <c r="BN31" s="113"/>
      <c r="BO31" s="109">
        <f t="shared" si="16"/>
        <v>0</v>
      </c>
      <c r="BP31" s="110">
        <v>90</v>
      </c>
      <c r="BQ31" s="101"/>
      <c r="BR31" s="117"/>
      <c r="BS31" s="118"/>
    </row>
    <row r="32" spans="1:71" x14ac:dyDescent="0.25">
      <c r="A32" s="116"/>
      <c r="B32" s="87" t="s">
        <v>112</v>
      </c>
      <c r="C32" s="88">
        <v>21.96</v>
      </c>
      <c r="D32" s="89">
        <v>2.7</v>
      </c>
      <c r="E32" s="90">
        <f>C32*D32</f>
        <v>59.292000000000009</v>
      </c>
      <c r="F32" s="91"/>
      <c r="G32" s="92"/>
      <c r="H32" s="93"/>
      <c r="I32" s="94"/>
      <c r="J32" s="95"/>
      <c r="K32" s="96">
        <v>19</v>
      </c>
      <c r="L32" s="97">
        <v>25</v>
      </c>
      <c r="M32" s="98">
        <v>4</v>
      </c>
      <c r="N32" s="99" t="s">
        <v>96</v>
      </c>
      <c r="O32" s="100"/>
      <c r="P32" s="289">
        <v>4</v>
      </c>
      <c r="Q32" s="291">
        <f>P32*200</f>
        <v>800</v>
      </c>
      <c r="R32" s="289"/>
      <c r="S32" s="291"/>
      <c r="T32" s="289"/>
      <c r="U32" s="291"/>
      <c r="V32" s="289">
        <v>10</v>
      </c>
      <c r="W32" s="291">
        <f t="shared" si="7"/>
        <v>219.60000000000002</v>
      </c>
      <c r="X32" s="292">
        <v>10</v>
      </c>
      <c r="Y32" s="219">
        <v>1134</v>
      </c>
      <c r="Z32" s="231">
        <v>73</v>
      </c>
      <c r="AA32" s="231">
        <f t="shared" si="8"/>
        <v>351.36</v>
      </c>
      <c r="AB32" s="231">
        <f t="shared" si="30"/>
        <v>473.27999999999992</v>
      </c>
      <c r="AC32" s="229">
        <f t="shared" si="18"/>
        <v>2031.64</v>
      </c>
      <c r="AD32" s="102">
        <v>478</v>
      </c>
      <c r="AE32" s="102">
        <f>0.34*(AP32)*(35-L32)*(1-0.8)*1.1</f>
        <v>179.52</v>
      </c>
      <c r="AF32" s="102">
        <f t="shared" si="9"/>
        <v>220</v>
      </c>
      <c r="AG32" s="102">
        <f t="shared" si="10"/>
        <v>520</v>
      </c>
      <c r="AH32" s="102">
        <f t="shared" si="11"/>
        <v>1019.6</v>
      </c>
      <c r="AI32" s="104">
        <f>SUM(AD32:AH32)</f>
        <v>2417.12</v>
      </c>
      <c r="AJ32" s="232">
        <f t="shared" si="19"/>
        <v>1558.3600000000001</v>
      </c>
      <c r="AK32" s="232">
        <f t="shared" si="20"/>
        <v>473.27999999999992</v>
      </c>
      <c r="AL32" s="221">
        <f t="shared" si="21"/>
        <v>2417.12</v>
      </c>
      <c r="AM32" s="228"/>
      <c r="AN32" s="336">
        <f t="shared" si="12"/>
        <v>240</v>
      </c>
      <c r="AO32" s="337">
        <v>2.5</v>
      </c>
      <c r="AP32" s="338">
        <f t="shared" si="13"/>
        <v>240</v>
      </c>
      <c r="AQ32" s="105"/>
      <c r="AR32" s="106"/>
      <c r="AS32" s="107" t="s">
        <v>111</v>
      </c>
      <c r="AT32" s="111"/>
      <c r="AU32" s="112"/>
      <c r="AV32" s="361"/>
      <c r="AW32" s="360"/>
      <c r="AX32" s="365"/>
      <c r="AY32" s="369"/>
      <c r="AZ32" s="371"/>
      <c r="BA32" s="369"/>
      <c r="BB32" s="369"/>
      <c r="BC32" s="369"/>
      <c r="BD32" s="314"/>
      <c r="BE32" s="315"/>
      <c r="BF32" s="316"/>
      <c r="BG32" s="315"/>
      <c r="BH32" s="316"/>
      <c r="BI32" s="234"/>
      <c r="BJ32" s="108"/>
      <c r="BK32" s="114"/>
      <c r="BL32" s="113">
        <f>MAX(AN32,AP32)</f>
        <v>240</v>
      </c>
      <c r="BM32" s="114">
        <f>BL32*100/BN32</f>
        <v>100</v>
      </c>
      <c r="BN32" s="113">
        <f>BL32</f>
        <v>240</v>
      </c>
      <c r="BO32" s="109">
        <f t="shared" si="16"/>
        <v>4.0477636106051404</v>
      </c>
      <c r="BP32" s="110">
        <f>BL32</f>
        <v>240</v>
      </c>
      <c r="BQ32" s="101"/>
      <c r="BR32" s="117"/>
      <c r="BS32" s="118"/>
    </row>
    <row r="33" spans="1:78" x14ac:dyDescent="0.25">
      <c r="A33" s="116"/>
      <c r="B33" s="87" t="s">
        <v>113</v>
      </c>
      <c r="C33" s="88">
        <v>12.06</v>
      </c>
      <c r="D33" s="89">
        <v>2.5</v>
      </c>
      <c r="E33" s="90">
        <f t="shared" ref="E33" si="31">C33*D33</f>
        <v>30.150000000000002</v>
      </c>
      <c r="F33" s="91"/>
      <c r="G33" s="92">
        <v>0</v>
      </c>
      <c r="H33" s="93"/>
      <c r="I33" s="94">
        <v>0</v>
      </c>
      <c r="J33" s="95"/>
      <c r="K33" s="96">
        <v>19</v>
      </c>
      <c r="L33" s="97">
        <v>23</v>
      </c>
      <c r="M33" s="98">
        <v>1</v>
      </c>
      <c r="N33" s="99" t="s">
        <v>96</v>
      </c>
      <c r="O33" s="100"/>
      <c r="P33" s="289"/>
      <c r="Q33" s="291"/>
      <c r="R33" s="289"/>
      <c r="S33" s="291"/>
      <c r="T33" s="295">
        <v>1</v>
      </c>
      <c r="U33" s="297">
        <v>5000</v>
      </c>
      <c r="V33" s="289">
        <v>10</v>
      </c>
      <c r="W33" s="291">
        <f t="shared" si="7"/>
        <v>120.60000000000001</v>
      </c>
      <c r="X33" s="292">
        <v>8</v>
      </c>
      <c r="Y33" s="219">
        <v>804</v>
      </c>
      <c r="Z33" s="231">
        <v>71</v>
      </c>
      <c r="AA33" s="231">
        <f t="shared" si="8"/>
        <v>192.96</v>
      </c>
      <c r="AB33" s="231">
        <f t="shared" si="30"/>
        <v>157.76</v>
      </c>
      <c r="AC33" s="229">
        <f t="shared" si="18"/>
        <v>1225.72</v>
      </c>
      <c r="AD33" s="102">
        <v>454</v>
      </c>
      <c r="AE33" s="102">
        <f>0.34*(AP33)*(35-L33)*(1-0.8)*1.1</f>
        <v>71.807999999999993</v>
      </c>
      <c r="AF33" s="102">
        <f t="shared" si="9"/>
        <v>100</v>
      </c>
      <c r="AG33" s="102">
        <f t="shared" si="10"/>
        <v>130</v>
      </c>
      <c r="AH33" s="102">
        <f t="shared" si="11"/>
        <v>5120.6000000000004</v>
      </c>
      <c r="AI33" s="104">
        <f t="shared" ref="AI33" si="32">SUM(AD33:AH33)</f>
        <v>5876.4080000000004</v>
      </c>
      <c r="AJ33" s="232">
        <f t="shared" si="19"/>
        <v>1067.96</v>
      </c>
      <c r="AK33" s="232">
        <f t="shared" si="20"/>
        <v>157.76</v>
      </c>
      <c r="AL33" s="221">
        <f t="shared" si="21"/>
        <v>5876.4080000000004</v>
      </c>
      <c r="AM33" s="228"/>
      <c r="AN33" s="336">
        <f t="shared" si="12"/>
        <v>60</v>
      </c>
      <c r="AO33" s="337">
        <v>2.5</v>
      </c>
      <c r="AP33" s="338">
        <f t="shared" si="13"/>
        <v>80</v>
      </c>
      <c r="AQ33" s="105"/>
      <c r="AR33" s="106"/>
      <c r="AS33" s="107" t="s">
        <v>99</v>
      </c>
      <c r="AT33" s="111"/>
      <c r="AU33" s="112"/>
      <c r="AV33" s="361"/>
      <c r="AW33" s="360"/>
      <c r="AX33" s="365"/>
      <c r="AY33" s="369"/>
      <c r="AZ33" s="371"/>
      <c r="BA33" s="369"/>
      <c r="BB33" s="369"/>
      <c r="BC33" s="369"/>
      <c r="BD33" s="314"/>
      <c r="BE33" s="315"/>
      <c r="BF33" s="316"/>
      <c r="BG33" s="315"/>
      <c r="BH33" s="316"/>
      <c r="BI33" s="234"/>
      <c r="BJ33" s="108"/>
      <c r="BK33" s="114"/>
      <c r="BL33" s="113">
        <f>MAX(AN33,AP33)</f>
        <v>80</v>
      </c>
      <c r="BM33" s="114">
        <f t="shared" ref="BM33" si="33">BL33*100/BN33</f>
        <v>100</v>
      </c>
      <c r="BN33" s="113">
        <f t="shared" ref="BN33" si="34">BL33</f>
        <v>80</v>
      </c>
      <c r="BO33" s="109">
        <f t="shared" si="16"/>
        <v>2.6533996683250414</v>
      </c>
      <c r="BP33" s="110">
        <f t="shared" ref="BP33" si="35">BL33</f>
        <v>80</v>
      </c>
      <c r="BQ33" s="101"/>
      <c r="BR33" s="117"/>
      <c r="BS33" s="118"/>
    </row>
    <row r="34" spans="1:78" s="12" customFormat="1" ht="19.5" thickBot="1" x14ac:dyDescent="0.3">
      <c r="B34" s="159" t="s">
        <v>114</v>
      </c>
      <c r="C34" s="160">
        <v>14.58</v>
      </c>
      <c r="D34" s="161">
        <v>2.7</v>
      </c>
      <c r="E34" s="90">
        <f>C34*D34</f>
        <v>39.366</v>
      </c>
      <c r="F34" s="162"/>
      <c r="G34" s="163"/>
      <c r="H34" s="164"/>
      <c r="I34" s="165"/>
      <c r="J34" s="166"/>
      <c r="K34" s="167">
        <v>19</v>
      </c>
      <c r="L34" s="168">
        <v>25</v>
      </c>
      <c r="M34" s="169">
        <v>2</v>
      </c>
      <c r="N34" s="170" t="s">
        <v>96</v>
      </c>
      <c r="O34" s="171"/>
      <c r="P34" s="289">
        <v>1</v>
      </c>
      <c r="Q34" s="291">
        <f>P34*200</f>
        <v>200</v>
      </c>
      <c r="R34" s="289">
        <v>2</v>
      </c>
      <c r="S34" s="291">
        <v>300</v>
      </c>
      <c r="T34" s="289"/>
      <c r="U34" s="291"/>
      <c r="V34" s="289">
        <v>10</v>
      </c>
      <c r="W34" s="291">
        <f t="shared" si="7"/>
        <v>145.80000000000001</v>
      </c>
      <c r="X34" s="294">
        <v>10</v>
      </c>
      <c r="Y34" s="219">
        <v>614</v>
      </c>
      <c r="Z34" s="231">
        <v>40</v>
      </c>
      <c r="AA34" s="231">
        <f t="shared" si="8"/>
        <v>233.28</v>
      </c>
      <c r="AB34" s="231">
        <f t="shared" si="30"/>
        <v>473.27999999999992</v>
      </c>
      <c r="AC34" s="229">
        <f t="shared" si="18"/>
        <v>1360.56</v>
      </c>
      <c r="AD34" s="102">
        <v>242</v>
      </c>
      <c r="AE34" s="102">
        <f>0.34*(AP34)*(35-L34)*(1-0.8)*1.1</f>
        <v>179.52</v>
      </c>
      <c r="AF34" s="102">
        <f t="shared" si="9"/>
        <v>150</v>
      </c>
      <c r="AG34" s="102">
        <f t="shared" si="10"/>
        <v>260</v>
      </c>
      <c r="AH34" s="102">
        <f t="shared" si="11"/>
        <v>645.79999999999995</v>
      </c>
      <c r="AI34" s="104">
        <f>SUM(AD34:AH34)</f>
        <v>1477.32</v>
      </c>
      <c r="AJ34" s="232">
        <f t="shared" si="19"/>
        <v>887.28</v>
      </c>
      <c r="AK34" s="232">
        <f t="shared" si="20"/>
        <v>473.27999999999992</v>
      </c>
      <c r="AL34" s="221">
        <f t="shared" si="21"/>
        <v>1477.32</v>
      </c>
      <c r="AM34" s="228"/>
      <c r="AN34" s="336">
        <f t="shared" si="12"/>
        <v>120</v>
      </c>
      <c r="AO34" s="337">
        <v>6</v>
      </c>
      <c r="AP34" s="338">
        <f t="shared" si="13"/>
        <v>240</v>
      </c>
      <c r="AQ34" s="172"/>
      <c r="AR34" s="173"/>
      <c r="AS34" s="107" t="s">
        <v>111</v>
      </c>
      <c r="AT34" s="111"/>
      <c r="AU34" s="112"/>
      <c r="AV34" s="361"/>
      <c r="AW34" s="360"/>
      <c r="AX34" s="365"/>
      <c r="AY34" s="369"/>
      <c r="AZ34" s="371"/>
      <c r="BA34" s="369"/>
      <c r="BB34" s="369"/>
      <c r="BC34" s="369"/>
      <c r="BD34" s="321">
        <v>1</v>
      </c>
      <c r="BE34" s="315">
        <f>BD34*100</f>
        <v>100</v>
      </c>
      <c r="BF34" s="322"/>
      <c r="BG34" s="315"/>
      <c r="BH34" s="322">
        <v>1</v>
      </c>
      <c r="BI34" s="234">
        <f>BH34*1000</f>
        <v>1000</v>
      </c>
      <c r="BJ34" s="108">
        <f>BE34+BG34+BI34</f>
        <v>1100</v>
      </c>
      <c r="BK34" s="113">
        <f>0.9*BJ34</f>
        <v>990</v>
      </c>
      <c r="BL34" s="113">
        <f>MAX(AN34,AP34)</f>
        <v>240</v>
      </c>
      <c r="BM34" s="114">
        <f>BL34*100/BN34</f>
        <v>100</v>
      </c>
      <c r="BN34" s="113">
        <f>BL34</f>
        <v>240</v>
      </c>
      <c r="BO34" s="109">
        <f t="shared" si="16"/>
        <v>6.096631611034903</v>
      </c>
      <c r="BP34" s="174">
        <f>BL34</f>
        <v>240</v>
      </c>
      <c r="BQ34" s="18"/>
      <c r="BR34" s="24"/>
      <c r="BS34" s="21"/>
    </row>
    <row r="35" spans="1:78" s="12" customFormat="1" ht="19.5" thickBot="1" x14ac:dyDescent="0.3">
      <c r="B35" s="120" t="s">
        <v>103</v>
      </c>
      <c r="C35" s="121">
        <f>SUM(C26:C34)</f>
        <v>288.70999999999998</v>
      </c>
      <c r="D35" s="122"/>
      <c r="E35" s="123">
        <f>SUM(E26:E34)</f>
        <v>889.09059999999999</v>
      </c>
      <c r="F35" s="124"/>
      <c r="G35" s="125"/>
      <c r="H35" s="126"/>
      <c r="I35" s="127"/>
      <c r="J35" s="128"/>
      <c r="K35" s="129"/>
      <c r="L35" s="130"/>
      <c r="M35" s="130"/>
      <c r="N35" s="131"/>
      <c r="O35" s="132"/>
      <c r="P35" s="326"/>
      <c r="Q35" s="327"/>
      <c r="R35" s="326"/>
      <c r="S35" s="327"/>
      <c r="T35" s="326"/>
      <c r="U35" s="328"/>
      <c r="V35" s="326"/>
      <c r="W35" s="328"/>
      <c r="X35" s="329"/>
      <c r="Y35" s="143">
        <f t="shared" ref="Y35:AN35" si="36">SUM(Y26:Y34)</f>
        <v>8693.5</v>
      </c>
      <c r="Z35" s="226">
        <f t="shared" si="36"/>
        <v>1192.8499999999999</v>
      </c>
      <c r="AA35" s="226">
        <f t="shared" si="36"/>
        <v>4619.3599999999997</v>
      </c>
      <c r="AB35" s="226">
        <f t="shared" si="36"/>
        <v>6254.6399999999985</v>
      </c>
      <c r="AC35" s="226">
        <f t="shared" si="36"/>
        <v>20760.350000000002</v>
      </c>
      <c r="AD35" s="134">
        <f t="shared" si="36"/>
        <v>3622</v>
      </c>
      <c r="AE35" s="134">
        <f>SUM(AE26:AE34)</f>
        <v>2659.8879999999999</v>
      </c>
      <c r="AF35" s="134">
        <f t="shared" si="36"/>
        <v>2900</v>
      </c>
      <c r="AG35" s="134">
        <f t="shared" si="36"/>
        <v>4420</v>
      </c>
      <c r="AH35" s="134">
        <f t="shared" si="36"/>
        <v>12387.1</v>
      </c>
      <c r="AI35" s="135">
        <f t="shared" si="36"/>
        <v>25988.988000000001</v>
      </c>
      <c r="AJ35" s="144">
        <f t="shared" si="36"/>
        <v>14505.710000000001</v>
      </c>
      <c r="AK35" s="144">
        <f t="shared" si="36"/>
        <v>6254.6399999999985</v>
      </c>
      <c r="AL35" s="134">
        <f t="shared" si="36"/>
        <v>25988.988000000001</v>
      </c>
      <c r="AM35" s="227"/>
      <c r="AN35" s="342">
        <f t="shared" si="36"/>
        <v>2040</v>
      </c>
      <c r="AO35" s="343"/>
      <c r="AP35" s="344">
        <f>SUM(AP26:AP34)</f>
        <v>3120</v>
      </c>
      <c r="AQ35" s="136"/>
      <c r="AR35" s="137"/>
      <c r="AS35" s="138"/>
      <c r="AT35" s="140"/>
      <c r="AU35" s="141"/>
      <c r="AV35" s="362"/>
      <c r="AW35" s="142"/>
      <c r="AX35" s="366"/>
      <c r="AY35" s="370"/>
      <c r="AZ35" s="370"/>
      <c r="BA35" s="370"/>
      <c r="BB35" s="370"/>
      <c r="BC35" s="370"/>
      <c r="BD35" s="133">
        <f>SUM(BD26:BD26)</f>
        <v>0</v>
      </c>
      <c r="BE35" s="323"/>
      <c r="BF35" s="324">
        <f>SUM(BF26:BF26)</f>
        <v>0</v>
      </c>
      <c r="BG35" s="323"/>
      <c r="BH35" s="324">
        <f>SUM(BH26:BH26)</f>
        <v>0</v>
      </c>
      <c r="BI35" s="325"/>
      <c r="BJ35" s="139"/>
      <c r="BK35" s="145"/>
      <c r="BL35" s="146">
        <f>SUM(BL26:BL34)</f>
        <v>3450</v>
      </c>
      <c r="BM35" s="145">
        <f t="shared" si="26"/>
        <v>100</v>
      </c>
      <c r="BN35" s="146">
        <f>SUM(BN26:BN34)</f>
        <v>3450</v>
      </c>
      <c r="BO35" s="147"/>
      <c r="BP35" s="148">
        <f>SUM(BP26:BP34)</f>
        <v>3350</v>
      </c>
      <c r="BQ35" s="18"/>
      <c r="BR35" s="24"/>
      <c r="BS35" s="21"/>
    </row>
    <row r="36" spans="1:78" ht="16.5" thickBot="1" x14ac:dyDescent="0.3">
      <c r="AH36" s="157"/>
      <c r="AJ36" s="157"/>
      <c r="AK36" s="157"/>
      <c r="AL36" s="157"/>
    </row>
    <row r="37" spans="1:78" s="176" customFormat="1" ht="16.5" customHeight="1" thickTop="1" x14ac:dyDescent="0.25">
      <c r="A37" s="175" t="s">
        <v>78</v>
      </c>
      <c r="B37" s="427" t="s">
        <v>115</v>
      </c>
      <c r="C37" s="412" t="s">
        <v>29</v>
      </c>
      <c r="D37" s="413"/>
      <c r="E37" s="413"/>
      <c r="F37" s="414"/>
      <c r="G37" s="429" t="s">
        <v>30</v>
      </c>
      <c r="H37" s="430"/>
      <c r="I37" s="430"/>
      <c r="J37" s="431"/>
      <c r="K37" s="418" t="s">
        <v>31</v>
      </c>
      <c r="L37" s="419"/>
      <c r="M37" s="419"/>
      <c r="N37" s="419"/>
      <c r="O37" s="420"/>
      <c r="P37" s="435" t="s">
        <v>200</v>
      </c>
      <c r="Q37" s="435"/>
      <c r="R37" s="435"/>
      <c r="S37" s="435"/>
      <c r="T37" s="435"/>
      <c r="U37" s="435"/>
      <c r="V37" s="435"/>
      <c r="W37" s="435"/>
      <c r="X37" s="436"/>
      <c r="Y37" s="412" t="s">
        <v>205</v>
      </c>
      <c r="Z37" s="413"/>
      <c r="AA37" s="413"/>
      <c r="AB37" s="413"/>
      <c r="AC37" s="413"/>
      <c r="AD37" s="413"/>
      <c r="AE37" s="413"/>
      <c r="AF37" s="413"/>
      <c r="AG37" s="413"/>
      <c r="AH37" s="413"/>
      <c r="AI37" s="414"/>
      <c r="AJ37" s="412" t="s">
        <v>33</v>
      </c>
      <c r="AK37" s="413"/>
      <c r="AL37" s="413"/>
      <c r="AM37" s="414"/>
      <c r="AN37" s="418" t="s">
        <v>34</v>
      </c>
      <c r="AO37" s="419"/>
      <c r="AP37" s="420"/>
      <c r="AQ37" s="418" t="s">
        <v>230</v>
      </c>
      <c r="AR37" s="419"/>
      <c r="AS37" s="420"/>
      <c r="AT37" s="412" t="s">
        <v>35</v>
      </c>
      <c r="AU37" s="413"/>
      <c r="AV37" s="413"/>
      <c r="AW37" s="414"/>
      <c r="AX37" s="412" t="s">
        <v>36</v>
      </c>
      <c r="AY37" s="413"/>
      <c r="AZ37" s="413"/>
      <c r="BA37" s="413"/>
      <c r="BB37" s="413"/>
      <c r="BC37" s="414"/>
      <c r="BD37" s="418" t="s">
        <v>32</v>
      </c>
      <c r="BE37" s="419"/>
      <c r="BF37" s="419"/>
      <c r="BG37" s="419"/>
      <c r="BH37" s="419"/>
      <c r="BI37" s="420"/>
      <c r="BJ37" s="424" t="s">
        <v>37</v>
      </c>
      <c r="BK37" s="425"/>
      <c r="BL37" s="425"/>
      <c r="BM37" s="425"/>
      <c r="BN37" s="425"/>
      <c r="BO37" s="425"/>
      <c r="BP37" s="426"/>
      <c r="BQ37" s="401" t="s">
        <v>116</v>
      </c>
      <c r="BR37" s="402"/>
      <c r="BS37" s="403"/>
    </row>
    <row r="38" spans="1:78" s="176" customFormat="1" x14ac:dyDescent="0.25">
      <c r="A38" s="175"/>
      <c r="B38" s="428"/>
      <c r="C38" s="415"/>
      <c r="D38" s="416"/>
      <c r="E38" s="416"/>
      <c r="F38" s="417"/>
      <c r="G38" s="432"/>
      <c r="H38" s="433"/>
      <c r="I38" s="433"/>
      <c r="J38" s="434"/>
      <c r="K38" s="421"/>
      <c r="L38" s="422"/>
      <c r="M38" s="422"/>
      <c r="N38" s="422"/>
      <c r="O38" s="423"/>
      <c r="P38" s="404" t="s">
        <v>206</v>
      </c>
      <c r="Q38" s="404"/>
      <c r="R38" s="404"/>
      <c r="S38" s="404"/>
      <c r="T38" s="404"/>
      <c r="U38" s="404"/>
      <c r="V38" s="404"/>
      <c r="W38" s="405"/>
      <c r="X38" s="218" t="s">
        <v>38</v>
      </c>
      <c r="Y38" s="415"/>
      <c r="Z38" s="416"/>
      <c r="AA38" s="416"/>
      <c r="AB38" s="416"/>
      <c r="AC38" s="416"/>
      <c r="AD38" s="416"/>
      <c r="AE38" s="416"/>
      <c r="AF38" s="416"/>
      <c r="AG38" s="416"/>
      <c r="AH38" s="416"/>
      <c r="AI38" s="417"/>
      <c r="AJ38" s="415"/>
      <c r="AK38" s="416"/>
      <c r="AL38" s="416"/>
      <c r="AM38" s="417"/>
      <c r="AN38" s="421"/>
      <c r="AO38" s="422"/>
      <c r="AP38" s="423"/>
      <c r="AQ38" s="421"/>
      <c r="AR38" s="422"/>
      <c r="AS38" s="423"/>
      <c r="AT38" s="415"/>
      <c r="AU38" s="416"/>
      <c r="AV38" s="416"/>
      <c r="AW38" s="417"/>
      <c r="AX38" s="415"/>
      <c r="AY38" s="416"/>
      <c r="AZ38" s="416"/>
      <c r="BA38" s="416"/>
      <c r="BB38" s="416"/>
      <c r="BC38" s="417"/>
      <c r="BD38" s="421"/>
      <c r="BE38" s="422"/>
      <c r="BF38" s="422"/>
      <c r="BG38" s="422"/>
      <c r="BH38" s="422"/>
      <c r="BI38" s="423"/>
      <c r="BJ38" s="406" t="s">
        <v>109</v>
      </c>
      <c r="BK38" s="407"/>
      <c r="BL38" s="408" t="s">
        <v>40</v>
      </c>
      <c r="BM38" s="407"/>
      <c r="BN38" s="408" t="s">
        <v>41</v>
      </c>
      <c r="BO38" s="407"/>
      <c r="BP38" s="25" t="s">
        <v>42</v>
      </c>
      <c r="BQ38" s="409" t="s">
        <v>117</v>
      </c>
      <c r="BR38" s="410"/>
      <c r="BS38" s="411"/>
    </row>
    <row r="39" spans="1:78" s="176" customFormat="1" ht="93.75" customHeight="1" x14ac:dyDescent="0.25">
      <c r="A39" s="175"/>
      <c r="B39" s="26" t="s">
        <v>118</v>
      </c>
      <c r="C39" s="27" t="s">
        <v>44</v>
      </c>
      <c r="D39" s="28" t="s">
        <v>45</v>
      </c>
      <c r="E39" s="29" t="s">
        <v>46</v>
      </c>
      <c r="F39" s="30" t="s">
        <v>47</v>
      </c>
      <c r="G39" s="31" t="s">
        <v>48</v>
      </c>
      <c r="H39" s="32" t="s">
        <v>49</v>
      </c>
      <c r="I39" s="33" t="s">
        <v>50</v>
      </c>
      <c r="J39" s="34" t="s">
        <v>51</v>
      </c>
      <c r="K39" s="35" t="s">
        <v>52</v>
      </c>
      <c r="L39" s="36" t="s">
        <v>53</v>
      </c>
      <c r="M39" s="37" t="s">
        <v>119</v>
      </c>
      <c r="N39" s="38" t="s">
        <v>106</v>
      </c>
      <c r="O39" s="39" t="s">
        <v>56</v>
      </c>
      <c r="P39" s="393" t="s">
        <v>221</v>
      </c>
      <c r="Q39" s="394"/>
      <c r="R39" s="399" t="s">
        <v>238</v>
      </c>
      <c r="S39" s="400"/>
      <c r="T39" s="399" t="s">
        <v>237</v>
      </c>
      <c r="U39" s="400"/>
      <c r="V39" s="393" t="s">
        <v>220</v>
      </c>
      <c r="W39" s="394"/>
      <c r="X39" s="302" t="s">
        <v>57</v>
      </c>
      <c r="Y39" s="48" t="s">
        <v>204</v>
      </c>
      <c r="Z39" s="49" t="s">
        <v>211</v>
      </c>
      <c r="AA39" s="49" t="s">
        <v>212</v>
      </c>
      <c r="AB39" s="49" t="s">
        <v>58</v>
      </c>
      <c r="AC39" s="49" t="s">
        <v>59</v>
      </c>
      <c r="AD39" s="40" t="s">
        <v>195</v>
      </c>
      <c r="AE39" s="40" t="s">
        <v>60</v>
      </c>
      <c r="AF39" s="40" t="s">
        <v>189</v>
      </c>
      <c r="AG39" s="40" t="s">
        <v>203</v>
      </c>
      <c r="AH39" s="40" t="s">
        <v>202</v>
      </c>
      <c r="AI39" s="41" t="s">
        <v>61</v>
      </c>
      <c r="AJ39" s="49" t="s">
        <v>208</v>
      </c>
      <c r="AK39" s="49" t="s">
        <v>207</v>
      </c>
      <c r="AL39" s="40" t="s">
        <v>209</v>
      </c>
      <c r="AM39" s="220" t="s">
        <v>210</v>
      </c>
      <c r="AN39" s="330" t="s">
        <v>64</v>
      </c>
      <c r="AO39" s="331" t="s">
        <v>65</v>
      </c>
      <c r="AP39" s="332" t="s">
        <v>73</v>
      </c>
      <c r="AQ39" s="42" t="s">
        <v>62</v>
      </c>
      <c r="AR39" s="43" t="s">
        <v>223</v>
      </c>
      <c r="AS39" s="44" t="s">
        <v>215</v>
      </c>
      <c r="AT39" s="46" t="s">
        <v>56</v>
      </c>
      <c r="AU39" s="47" t="s">
        <v>66</v>
      </c>
      <c r="AV39" s="47" t="s">
        <v>225</v>
      </c>
      <c r="AW39" s="358" t="s">
        <v>227</v>
      </c>
      <c r="AX39" s="363" t="s">
        <v>226</v>
      </c>
      <c r="AY39" s="367" t="s">
        <v>68</v>
      </c>
      <c r="AZ39" s="367" t="s">
        <v>69</v>
      </c>
      <c r="BA39" s="367" t="s">
        <v>228</v>
      </c>
      <c r="BB39" s="367" t="s">
        <v>70</v>
      </c>
      <c r="BC39" s="372" t="s">
        <v>229</v>
      </c>
      <c r="BD39" s="395"/>
      <c r="BE39" s="396"/>
      <c r="BF39" s="397"/>
      <c r="BG39" s="396"/>
      <c r="BH39" s="397"/>
      <c r="BI39" s="398"/>
      <c r="BJ39" s="50" t="s">
        <v>71</v>
      </c>
      <c r="BK39" s="51" t="s">
        <v>72</v>
      </c>
      <c r="BL39" s="52" t="s">
        <v>73</v>
      </c>
      <c r="BM39" s="53" t="s">
        <v>74</v>
      </c>
      <c r="BN39" s="52" t="s">
        <v>120</v>
      </c>
      <c r="BO39" s="54" t="s">
        <v>76</v>
      </c>
      <c r="BP39" s="45" t="s">
        <v>121</v>
      </c>
      <c r="BQ39" s="177" t="s">
        <v>122</v>
      </c>
      <c r="BR39" s="178" t="s">
        <v>123</v>
      </c>
      <c r="BS39" s="179" t="s">
        <v>124</v>
      </c>
      <c r="BU39" s="390" t="s">
        <v>125</v>
      </c>
      <c r="BV39" s="391"/>
      <c r="BW39" s="392"/>
      <c r="BX39" s="390" t="s">
        <v>126</v>
      </c>
      <c r="BY39" s="391"/>
      <c r="BZ39" s="392"/>
    </row>
    <row r="40" spans="1:78" s="55" customFormat="1" ht="18" thickBot="1" x14ac:dyDescent="0.3">
      <c r="A40" s="55" t="s">
        <v>78</v>
      </c>
      <c r="B40" s="56" t="s">
        <v>79</v>
      </c>
      <c r="C40" s="57" t="s">
        <v>80</v>
      </c>
      <c r="D40" s="58" t="s">
        <v>81</v>
      </c>
      <c r="E40" s="59" t="s">
        <v>82</v>
      </c>
      <c r="F40" s="60"/>
      <c r="G40" s="61" t="s">
        <v>83</v>
      </c>
      <c r="H40" s="62" t="s">
        <v>83</v>
      </c>
      <c r="I40" s="63" t="s">
        <v>83</v>
      </c>
      <c r="J40" s="64" t="s">
        <v>83</v>
      </c>
      <c r="K40" s="65" t="s">
        <v>84</v>
      </c>
      <c r="L40" s="66" t="s">
        <v>84</v>
      </c>
      <c r="M40" s="67" t="s">
        <v>85</v>
      </c>
      <c r="N40" s="68" t="s">
        <v>86</v>
      </c>
      <c r="O40" s="69" t="s">
        <v>87</v>
      </c>
      <c r="P40" s="293" t="s">
        <v>85</v>
      </c>
      <c r="Q40" s="296" t="s">
        <v>88</v>
      </c>
      <c r="R40" s="293" t="s">
        <v>85</v>
      </c>
      <c r="S40" s="301" t="s">
        <v>88</v>
      </c>
      <c r="T40" s="293" t="s">
        <v>85</v>
      </c>
      <c r="U40" s="296" t="s">
        <v>88</v>
      </c>
      <c r="V40" s="293" t="s">
        <v>201</v>
      </c>
      <c r="W40" s="296" t="s">
        <v>88</v>
      </c>
      <c r="X40" s="305" t="s">
        <v>201</v>
      </c>
      <c r="Y40" s="78" t="s">
        <v>83</v>
      </c>
      <c r="Z40" s="79" t="s">
        <v>83</v>
      </c>
      <c r="AA40" s="79"/>
      <c r="AB40" s="79" t="s">
        <v>83</v>
      </c>
      <c r="AC40" s="225" t="s">
        <v>83</v>
      </c>
      <c r="AD40" s="70" t="s">
        <v>83</v>
      </c>
      <c r="AE40" s="70" t="s">
        <v>83</v>
      </c>
      <c r="AF40" s="70" t="s">
        <v>83</v>
      </c>
      <c r="AG40" s="70" t="s">
        <v>83</v>
      </c>
      <c r="AH40" s="70" t="s">
        <v>83</v>
      </c>
      <c r="AI40" s="71" t="s">
        <v>83</v>
      </c>
      <c r="AJ40" s="79" t="s">
        <v>83</v>
      </c>
      <c r="AK40" s="79" t="s">
        <v>83</v>
      </c>
      <c r="AL40" s="70" t="s">
        <v>83</v>
      </c>
      <c r="AM40" s="223" t="s">
        <v>83</v>
      </c>
      <c r="AN40" s="333" t="s">
        <v>89</v>
      </c>
      <c r="AO40" s="334" t="s">
        <v>86</v>
      </c>
      <c r="AP40" s="335" t="s">
        <v>89</v>
      </c>
      <c r="AQ40" s="72" t="s">
        <v>90</v>
      </c>
      <c r="AR40" s="73" t="s">
        <v>89</v>
      </c>
      <c r="AS40" s="74" t="s">
        <v>89</v>
      </c>
      <c r="AT40" s="76" t="s">
        <v>87</v>
      </c>
      <c r="AU40" s="77"/>
      <c r="AV40" s="77" t="s">
        <v>89</v>
      </c>
      <c r="AW40" s="359" t="s">
        <v>89</v>
      </c>
      <c r="AX40" s="364" t="s">
        <v>91</v>
      </c>
      <c r="AY40" s="368" t="s">
        <v>89</v>
      </c>
      <c r="AZ40" s="368" t="s">
        <v>92</v>
      </c>
      <c r="BA40" s="368" t="s">
        <v>89</v>
      </c>
      <c r="BB40" s="368" t="s">
        <v>89</v>
      </c>
      <c r="BC40" s="373" t="s">
        <v>89</v>
      </c>
      <c r="BD40" s="237" t="s">
        <v>85</v>
      </c>
      <c r="BE40" s="246" t="s">
        <v>89</v>
      </c>
      <c r="BF40" s="247" t="s">
        <v>85</v>
      </c>
      <c r="BG40" s="248" t="s">
        <v>89</v>
      </c>
      <c r="BH40" s="247" t="s">
        <v>85</v>
      </c>
      <c r="BI40" s="249" t="s">
        <v>89</v>
      </c>
      <c r="BJ40" s="80" t="s">
        <v>89</v>
      </c>
      <c r="BK40" s="81" t="s">
        <v>89</v>
      </c>
      <c r="BL40" s="81" t="s">
        <v>89</v>
      </c>
      <c r="BM40" s="81" t="s">
        <v>86</v>
      </c>
      <c r="BN40" s="75" t="s">
        <v>89</v>
      </c>
      <c r="BO40" s="82" t="s">
        <v>90</v>
      </c>
      <c r="BP40" s="83" t="s">
        <v>89</v>
      </c>
      <c r="BQ40" s="65" t="s">
        <v>94</v>
      </c>
      <c r="BR40" s="85" t="s">
        <v>84</v>
      </c>
      <c r="BS40" s="86" t="s">
        <v>84</v>
      </c>
      <c r="BU40" s="180" t="s">
        <v>85</v>
      </c>
      <c r="BV40" s="181" t="s">
        <v>127</v>
      </c>
      <c r="BW40" s="182" t="s">
        <v>128</v>
      </c>
      <c r="BX40" s="181" t="s">
        <v>85</v>
      </c>
      <c r="BY40" s="181" t="s">
        <v>127</v>
      </c>
      <c r="BZ40" s="181" t="s">
        <v>128</v>
      </c>
    </row>
    <row r="41" spans="1:78" x14ac:dyDescent="0.25">
      <c r="A41" s="116"/>
      <c r="B41" s="87" t="s">
        <v>129</v>
      </c>
      <c r="C41" s="88">
        <v>9.18</v>
      </c>
      <c r="D41" s="89">
        <v>2.4</v>
      </c>
      <c r="E41" s="90">
        <f>C41*D41</f>
        <v>22.032</v>
      </c>
      <c r="F41" s="91" t="s">
        <v>130</v>
      </c>
      <c r="G41" s="92">
        <v>0</v>
      </c>
      <c r="H41" s="93"/>
      <c r="I41" s="94">
        <v>0</v>
      </c>
      <c r="J41" s="95"/>
      <c r="K41" s="96">
        <v>20</v>
      </c>
      <c r="L41" s="97">
        <v>21</v>
      </c>
      <c r="M41" s="98">
        <v>2</v>
      </c>
      <c r="N41" s="99" t="s">
        <v>96</v>
      </c>
      <c r="O41" s="100">
        <v>40</v>
      </c>
      <c r="P41" s="289"/>
      <c r="Q41" s="291"/>
      <c r="R41" s="295">
        <v>1</v>
      </c>
      <c r="S41" s="297">
        <f>R41*1000</f>
        <v>1000</v>
      </c>
      <c r="T41" s="295">
        <v>1</v>
      </c>
      <c r="U41" s="297">
        <v>400</v>
      </c>
      <c r="V41" s="289">
        <v>10</v>
      </c>
      <c r="W41" s="291">
        <f>C41*V41</f>
        <v>91.8</v>
      </c>
      <c r="X41" s="292">
        <v>15</v>
      </c>
      <c r="Y41" s="219">
        <v>212</v>
      </c>
      <c r="Z41" s="231">
        <v>39</v>
      </c>
      <c r="AA41" s="231">
        <v>0</v>
      </c>
      <c r="AB41" s="231">
        <f>0.34*AP41*(K41-(-10))</f>
        <v>6747.3000000000011</v>
      </c>
      <c r="AC41" s="231">
        <f>Y41+AB41</f>
        <v>6959.3000000000011</v>
      </c>
      <c r="AD41" s="102">
        <v>48</v>
      </c>
      <c r="AE41" s="102">
        <f>0.34*(662)*(35-L41)*1.1</f>
        <v>3466.2320000000009</v>
      </c>
      <c r="AF41" s="102">
        <f>ROUNDUP((MAX(X41*C41)),-1)</f>
        <v>140</v>
      </c>
      <c r="AG41" s="102">
        <f>M41*130</f>
        <v>260</v>
      </c>
      <c r="AH41" s="103">
        <f>Q41+S41+U41+W41</f>
        <v>1491.8</v>
      </c>
      <c r="AI41" s="104">
        <f>SUM(AD41:AH41)</f>
        <v>5406.0320000000011</v>
      </c>
      <c r="AJ41" s="230"/>
      <c r="AK41" s="232">
        <f>AC41</f>
        <v>6959.3000000000011</v>
      </c>
      <c r="AL41" s="224"/>
      <c r="AM41" s="222">
        <f>AI41</f>
        <v>5406.0320000000011</v>
      </c>
      <c r="AN41" s="336">
        <f>M41*60</f>
        <v>120</v>
      </c>
      <c r="AO41" s="345">
        <v>15</v>
      </c>
      <c r="AP41" s="338">
        <f>MAX(AR41,AS41)*AO41/100</f>
        <v>661.5</v>
      </c>
      <c r="AQ41" s="105">
        <v>200</v>
      </c>
      <c r="AR41" s="106">
        <f>ROUNDUP((MAX(E41*AQ41)),-1)</f>
        <v>4410</v>
      </c>
      <c r="AS41" s="107">
        <f>ROUNDUP(AI41/(0.34*(L41-16)),-1)</f>
        <v>3190</v>
      </c>
      <c r="AT41" s="111">
        <f>O41</f>
        <v>40</v>
      </c>
      <c r="AU41" s="112">
        <f>(AT41*22.414*(273.15+L41)/(8.314*273.15^2))</f>
        <v>0.42514373320367754</v>
      </c>
      <c r="AV41" s="361">
        <f>AP41*AU41</f>
        <v>281.23257951423267</v>
      </c>
      <c r="AW41" s="360">
        <f>AP41+AV41</f>
        <v>942.73257951423261</v>
      </c>
      <c r="AX41" s="365">
        <f>0.9*0.002+2.8*0.005</f>
        <v>1.5799999999999998E-2</v>
      </c>
      <c r="AY41" s="369">
        <f>1*0.61*AX41*POWER((2*(O41-O42)/1.18),0.5)*3600+1*0.61*AX41*POWER((2*(O41-O19)/1.18),0.5)*3600</f>
        <v>386.69521994527321</v>
      </c>
      <c r="AZ41" s="371">
        <f>AY41/3600/AX41</f>
        <v>6.7984391692206971</v>
      </c>
      <c r="BA41" s="369">
        <f>0.5*E41</f>
        <v>11.016</v>
      </c>
      <c r="BB41" s="369">
        <f>AY41+BA41</f>
        <v>397.71121994527323</v>
      </c>
      <c r="BC41" s="369">
        <f>MAX(AR41,AS41)-AW41-BB41</f>
        <v>3069.5562005404945</v>
      </c>
      <c r="BD41" s="239"/>
      <c r="BE41" s="250"/>
      <c r="BF41" s="251"/>
      <c r="BG41" s="250"/>
      <c r="BH41" s="251"/>
      <c r="BI41" s="241"/>
      <c r="BJ41" s="108"/>
      <c r="BK41" s="114"/>
      <c r="BL41" s="113">
        <f>AW41+BB41+BJ41</f>
        <v>1340.443799459506</v>
      </c>
      <c r="BM41" s="114">
        <f t="shared" ref="BM41:BM43" si="37">BL41*100/BN41</f>
        <v>30.395551008152058</v>
      </c>
      <c r="BN41" s="113">
        <f>IF((BC41-BJ41)&gt;0,MAX(AR41,AS41),(AV41+BB41+BJ41))</f>
        <v>4410</v>
      </c>
      <c r="BO41" s="109">
        <f>BN41/E41</f>
        <v>200.16339869281046</v>
      </c>
      <c r="BP41" s="110">
        <f t="shared" ref="BP41:BP42" si="38">ROUND(IF(BC41+BJ41&gt;0,(BC41+BJ41),(BC41+BJ41)+BN41),-1)</f>
        <v>3070</v>
      </c>
      <c r="BQ41" s="101" t="e">
        <f>#REF!+1</f>
        <v>#REF!</v>
      </c>
      <c r="BR41" s="183">
        <f>25-AI41/0.34/BN41</f>
        <v>21.39453648125917</v>
      </c>
      <c r="BS41" s="118">
        <f>K41+(Y41/(0.34*BN41))</f>
        <v>20.141389889289048</v>
      </c>
      <c r="BU41" s="184">
        <v>1</v>
      </c>
      <c r="BV41" s="185">
        <f>BN41/BU41</f>
        <v>4410</v>
      </c>
      <c r="BW41" s="186" t="s">
        <v>231</v>
      </c>
      <c r="BX41" s="185">
        <v>3</v>
      </c>
      <c r="BY41" s="185">
        <f>BP41/BX41</f>
        <v>1023.3333333333334</v>
      </c>
      <c r="BZ41" s="187" t="s">
        <v>232</v>
      </c>
    </row>
    <row r="42" spans="1:78" x14ac:dyDescent="0.25">
      <c r="A42" s="116" t="s">
        <v>97</v>
      </c>
      <c r="B42" s="87" t="s">
        <v>131</v>
      </c>
      <c r="C42" s="88">
        <v>12.38</v>
      </c>
      <c r="D42" s="89">
        <v>2.4</v>
      </c>
      <c r="E42" s="90">
        <f>C42*D42</f>
        <v>29.712</v>
      </c>
      <c r="F42" s="91" t="s">
        <v>132</v>
      </c>
      <c r="G42" s="92">
        <v>0</v>
      </c>
      <c r="H42" s="93"/>
      <c r="I42" s="94">
        <v>0</v>
      </c>
      <c r="J42" s="95"/>
      <c r="K42" s="96">
        <v>20</v>
      </c>
      <c r="L42" s="97">
        <v>21</v>
      </c>
      <c r="M42" s="98">
        <v>2</v>
      </c>
      <c r="N42" s="99" t="s">
        <v>96</v>
      </c>
      <c r="O42" s="100">
        <v>35</v>
      </c>
      <c r="P42" s="289">
        <v>1</v>
      </c>
      <c r="Q42" s="291">
        <f>P42*200</f>
        <v>200</v>
      </c>
      <c r="R42" s="289"/>
      <c r="S42" s="300"/>
      <c r="T42" s="289"/>
      <c r="U42" s="291"/>
      <c r="V42" s="289">
        <v>10</v>
      </c>
      <c r="W42" s="291">
        <f>C42*V42</f>
        <v>123.80000000000001</v>
      </c>
      <c r="X42" s="292">
        <v>15</v>
      </c>
      <c r="Y42" s="219">
        <v>232</v>
      </c>
      <c r="Z42" s="231">
        <v>7</v>
      </c>
      <c r="AA42" s="231">
        <v>0</v>
      </c>
      <c r="AB42" s="231">
        <f>0.34*AP42*(K42-(-10))</f>
        <v>1377.0000000000002</v>
      </c>
      <c r="AC42" s="231">
        <f>Y42+AB42</f>
        <v>1609.0000000000002</v>
      </c>
      <c r="AD42" s="102">
        <v>31</v>
      </c>
      <c r="AE42" s="102">
        <f>0.34*(135)*(35-L42)</f>
        <v>642.60000000000014</v>
      </c>
      <c r="AF42" s="102">
        <f>ROUNDUP((MAX(X42*C42)),-1)</f>
        <v>190</v>
      </c>
      <c r="AG42" s="102">
        <f>M42*130</f>
        <v>260</v>
      </c>
      <c r="AH42" s="103">
        <f>Q42+S42+U42+W42</f>
        <v>323.8</v>
      </c>
      <c r="AI42" s="104">
        <f>SUM(AD42:AH42)</f>
        <v>1447.4</v>
      </c>
      <c r="AJ42" s="230"/>
      <c r="AK42" s="232">
        <f>AC42</f>
        <v>1609.0000000000002</v>
      </c>
      <c r="AL42" s="224"/>
      <c r="AM42" s="222">
        <f>AI42</f>
        <v>1447.4</v>
      </c>
      <c r="AN42" s="336">
        <f>M42*60</f>
        <v>120</v>
      </c>
      <c r="AO42" s="345">
        <v>15</v>
      </c>
      <c r="AP42" s="338">
        <f>MAX(AR42,AS42)*AO42/100</f>
        <v>135</v>
      </c>
      <c r="AQ42" s="105">
        <v>30</v>
      </c>
      <c r="AR42" s="106">
        <f>ROUNDUP((MAX(E42*AQ42)),-1)</f>
        <v>900</v>
      </c>
      <c r="AS42" s="107">
        <f>ROUNDUP(AI42/(0.34*(L42-16)),-1)</f>
        <v>860</v>
      </c>
      <c r="AT42" s="111">
        <f>O42</f>
        <v>35</v>
      </c>
      <c r="AU42" s="112">
        <f>(AT42*22.414*(273.15+L42)/(8.314*273.15^2))</f>
        <v>0.37200076655321779</v>
      </c>
      <c r="AV42" s="361">
        <f t="shared" ref="AV42:AV43" si="39">AP42*AU42</f>
        <v>50.220103484684401</v>
      </c>
      <c r="AW42" s="360">
        <f t="shared" ref="AW42:AW43" si="40">AP42+AV42</f>
        <v>185.22010348468439</v>
      </c>
      <c r="AX42" s="365">
        <f>0.9*0.002</f>
        <v>1.8000000000000002E-3</v>
      </c>
      <c r="AY42" s="369">
        <f>1*0.61*AX42*POWER((2*(O42-O43)/1.18),0.5)*3600</f>
        <v>19.930787767094138</v>
      </c>
      <c r="AZ42" s="371">
        <f>AY42/3600/AX42</f>
        <v>3.0757388529466261</v>
      </c>
      <c r="BA42" s="369">
        <f>0.5*E42</f>
        <v>14.856</v>
      </c>
      <c r="BB42" s="369">
        <f>AY42+BA42</f>
        <v>34.78678776709414</v>
      </c>
      <c r="BC42" s="369">
        <f t="shared" ref="BC42:BC43" si="41">MAX(AR42,AS42)-AW42-BB42</f>
        <v>679.99310874822152</v>
      </c>
      <c r="BD42" s="239"/>
      <c r="BE42" s="250"/>
      <c r="BF42" s="251"/>
      <c r="BG42" s="250"/>
      <c r="BH42" s="251"/>
      <c r="BI42" s="241"/>
      <c r="BJ42" s="108"/>
      <c r="BK42" s="114"/>
      <c r="BL42" s="113">
        <f>AW42+BB42+BJ42</f>
        <v>220.00689125177854</v>
      </c>
      <c r="BM42" s="114">
        <f t="shared" si="37"/>
        <v>24.445210139086505</v>
      </c>
      <c r="BN42" s="113">
        <f>IF((BC42-BJ42)&gt;0,MAX(AR42,AS42),(AV42+BB42+BJ42))</f>
        <v>900</v>
      </c>
      <c r="BO42" s="109">
        <f>BN42/E42</f>
        <v>30.290791599353796</v>
      </c>
      <c r="BP42" s="110">
        <f t="shared" si="38"/>
        <v>680</v>
      </c>
      <c r="BQ42" s="101" t="e">
        <f>BQ40+1</f>
        <v>#VALUE!</v>
      </c>
      <c r="BR42" s="117">
        <f>25-AI42/0.34/BN42</f>
        <v>20.269934640522877</v>
      </c>
      <c r="BS42" s="118">
        <f>K42+(Y42/(0.34*BN42))</f>
        <v>20.758169934640524</v>
      </c>
      <c r="BU42" s="184">
        <v>2</v>
      </c>
      <c r="BV42" s="185">
        <f>BN42/BU42</f>
        <v>450</v>
      </c>
      <c r="BW42" s="186" t="s">
        <v>233</v>
      </c>
      <c r="BX42" s="185">
        <v>1</v>
      </c>
      <c r="BY42" s="185">
        <f>BP42/BX42</f>
        <v>680</v>
      </c>
      <c r="BZ42" s="187" t="s">
        <v>234</v>
      </c>
    </row>
    <row r="43" spans="1:78" ht="16.5" thickBot="1" x14ac:dyDescent="0.3">
      <c r="A43" s="116" t="s">
        <v>97</v>
      </c>
      <c r="B43" s="87" t="s">
        <v>133</v>
      </c>
      <c r="C43" s="88">
        <v>6.12</v>
      </c>
      <c r="D43" s="89">
        <v>2.4</v>
      </c>
      <c r="E43" s="90">
        <f>C43*D43</f>
        <v>14.687999999999999</v>
      </c>
      <c r="F43" s="91"/>
      <c r="G43" s="92">
        <v>0</v>
      </c>
      <c r="H43" s="93"/>
      <c r="I43" s="94">
        <v>0</v>
      </c>
      <c r="J43" s="95"/>
      <c r="K43" s="96">
        <v>19</v>
      </c>
      <c r="L43" s="97">
        <v>25</v>
      </c>
      <c r="M43" s="98">
        <v>1</v>
      </c>
      <c r="N43" s="99" t="s">
        <v>96</v>
      </c>
      <c r="O43" s="100">
        <v>20</v>
      </c>
      <c r="P43" s="289"/>
      <c r="Q43" s="300"/>
      <c r="R43" s="289"/>
      <c r="S43" s="300"/>
      <c r="T43" s="289"/>
      <c r="U43" s="291"/>
      <c r="V43" s="289"/>
      <c r="W43" s="291"/>
      <c r="X43" s="292">
        <v>15</v>
      </c>
      <c r="Y43" s="219">
        <v>150</v>
      </c>
      <c r="Z43" s="231">
        <v>32</v>
      </c>
      <c r="AA43" s="231">
        <v>0</v>
      </c>
      <c r="AB43" s="231">
        <f>0.34*AP43*(K43-(-10))</f>
        <v>340.17</v>
      </c>
      <c r="AC43" s="231">
        <f>Y43+AB43</f>
        <v>490.17</v>
      </c>
      <c r="AD43" s="102">
        <v>40</v>
      </c>
      <c r="AE43" s="102">
        <f>0.34*(35)*(35-L43)</f>
        <v>119</v>
      </c>
      <c r="AF43" s="102">
        <f>ROUNDUP((MAX(X43*C43)),-1)</f>
        <v>100</v>
      </c>
      <c r="AG43" s="102">
        <f>M43*130</f>
        <v>130</v>
      </c>
      <c r="AH43" s="103">
        <f>Q43+S43+U43+W43</f>
        <v>0</v>
      </c>
      <c r="AI43" s="104">
        <f>SUM(AD43:AH43)</f>
        <v>389</v>
      </c>
      <c r="AJ43" s="230"/>
      <c r="AK43" s="232">
        <f>AC43</f>
        <v>490.17</v>
      </c>
      <c r="AL43" s="224"/>
      <c r="AM43" s="222">
        <f>AI43</f>
        <v>389</v>
      </c>
      <c r="AN43" s="336">
        <f>M43*60</f>
        <v>60</v>
      </c>
      <c r="AO43" s="345">
        <v>15</v>
      </c>
      <c r="AP43" s="338">
        <f>MAX(AR43,AS43)*AO43/100</f>
        <v>34.5</v>
      </c>
      <c r="AQ43" s="105">
        <v>15</v>
      </c>
      <c r="AR43" s="106">
        <f>ROUNDUP((MAX(E43*AQ43)),-1)</f>
        <v>230</v>
      </c>
      <c r="AS43" s="107">
        <f>ROUNDUP(AI43/(0.34*(L43-16)),-1)</f>
        <v>130</v>
      </c>
      <c r="AT43" s="111">
        <f>O43</f>
        <v>20</v>
      </c>
      <c r="AU43" s="112">
        <f>(AT43*22.414*(273.15+L43)/(8.314*273.15^2))</f>
        <v>0.21546252601508833</v>
      </c>
      <c r="AV43" s="361">
        <f t="shared" si="39"/>
        <v>7.4334571475205475</v>
      </c>
      <c r="AW43" s="360">
        <f t="shared" si="40"/>
        <v>41.933457147520549</v>
      </c>
      <c r="AX43" s="365">
        <f>0.9*0.002</f>
        <v>1.8000000000000002E-3</v>
      </c>
      <c r="AY43" s="369">
        <f>1*0.61*AX43*POWER((2*(O43-O30)/1.18),0.5)*3600</f>
        <v>19.930787767094138</v>
      </c>
      <c r="AZ43" s="371">
        <f>AY43/3600/AX43</f>
        <v>3.0757388529466261</v>
      </c>
      <c r="BA43" s="369">
        <f>0.5*E43</f>
        <v>7.3439999999999994</v>
      </c>
      <c r="BB43" s="369">
        <f>AY43+BA43</f>
        <v>27.274787767094139</v>
      </c>
      <c r="BC43" s="369">
        <f t="shared" si="41"/>
        <v>160.79175508538532</v>
      </c>
      <c r="BD43" s="239"/>
      <c r="BE43" s="250"/>
      <c r="BF43" s="251"/>
      <c r="BG43" s="250"/>
      <c r="BH43" s="251"/>
      <c r="BI43" s="241"/>
      <c r="BJ43" s="108"/>
      <c r="BK43" s="114"/>
      <c r="BL43" s="113">
        <f>AW43+BB43+BJ43</f>
        <v>69.208244914614681</v>
      </c>
      <c r="BM43" s="114">
        <f t="shared" si="37"/>
        <v>30.090541267223774</v>
      </c>
      <c r="BN43" s="113">
        <f>IF((BC43-BJ43)&gt;0,MAX(AR43,AS43),(AV43+BB43+BJ43))</f>
        <v>230</v>
      </c>
      <c r="BO43" s="109">
        <f>BN43/E43</f>
        <v>15.659041394335514</v>
      </c>
      <c r="BP43" s="110">
        <f>ROUND(IF(BC43+BJ43&gt;0,(BC43+BJ43),(BC43+BJ43)+BN43),-1)</f>
        <v>160</v>
      </c>
      <c r="BQ43" s="101" t="e">
        <f>BQ41+1</f>
        <v>#REF!</v>
      </c>
      <c r="BR43" s="117">
        <f>25-AI43/0.34/BN43</f>
        <v>20.025575447570333</v>
      </c>
      <c r="BS43" s="118">
        <f>K43+(Y43/(0.34*BN43))</f>
        <v>20.918158567774935</v>
      </c>
      <c r="BU43" s="184">
        <v>1</v>
      </c>
      <c r="BV43" s="185">
        <f>BN43/BU43</f>
        <v>230</v>
      </c>
      <c r="BW43" s="186" t="s">
        <v>233</v>
      </c>
      <c r="BX43" s="185">
        <v>1</v>
      </c>
      <c r="BY43" s="185">
        <f>BP43/BX43</f>
        <v>160</v>
      </c>
      <c r="BZ43" s="187" t="s">
        <v>134</v>
      </c>
    </row>
    <row r="44" spans="1:78" s="12" customFormat="1" ht="19.5" thickBot="1" x14ac:dyDescent="0.3">
      <c r="B44" s="120" t="s">
        <v>103</v>
      </c>
      <c r="C44" s="121">
        <f>SUM(C41:C43)</f>
        <v>27.680000000000003</v>
      </c>
      <c r="D44" s="122"/>
      <c r="E44" s="123">
        <f>SUM(E41:E43)</f>
        <v>66.432000000000002</v>
      </c>
      <c r="F44" s="124"/>
      <c r="G44" s="188"/>
      <c r="H44" s="189"/>
      <c r="I44" s="190"/>
      <c r="J44" s="191"/>
      <c r="K44" s="129"/>
      <c r="L44" s="130"/>
      <c r="M44" s="130"/>
      <c r="N44" s="131"/>
      <c r="O44" s="132"/>
      <c r="P44" s="307"/>
      <c r="Q44" s="298"/>
      <c r="R44" s="307"/>
      <c r="S44" s="298"/>
      <c r="T44" s="307"/>
      <c r="U44" s="299"/>
      <c r="V44" s="307"/>
      <c r="W44" s="299"/>
      <c r="X44" s="306"/>
      <c r="Y44" s="143">
        <f>SUM(Y41:Y43)</f>
        <v>594</v>
      </c>
      <c r="Z44" s="226">
        <f>SUM(Z41:Z43)</f>
        <v>78</v>
      </c>
      <c r="AA44" s="226">
        <f>SUM(AA41:AA43)</f>
        <v>0</v>
      </c>
      <c r="AB44" s="226">
        <f>SUM(AB41:AB43)</f>
        <v>8464.4700000000012</v>
      </c>
      <c r="AC44" s="226">
        <f>SUM(AC41:AC43)</f>
        <v>9058.4700000000012</v>
      </c>
      <c r="AD44" s="134">
        <f t="shared" ref="AD44:AI44" si="42">SUM(AD41:AD43)</f>
        <v>119</v>
      </c>
      <c r="AE44" s="134">
        <f t="shared" si="42"/>
        <v>4227.8320000000012</v>
      </c>
      <c r="AF44" s="134">
        <f t="shared" si="42"/>
        <v>430</v>
      </c>
      <c r="AG44" s="134">
        <f t="shared" si="42"/>
        <v>650</v>
      </c>
      <c r="AH44" s="134">
        <f t="shared" si="42"/>
        <v>1815.6</v>
      </c>
      <c r="AI44" s="135">
        <f t="shared" si="42"/>
        <v>7242.4320000000007</v>
      </c>
      <c r="AJ44" s="144"/>
      <c r="AK44" s="144">
        <f t="shared" ref="AK44:AM44" si="43">SUM(AK41:AK43)</f>
        <v>9058.4700000000012</v>
      </c>
      <c r="AL44" s="227"/>
      <c r="AM44" s="135">
        <f t="shared" si="43"/>
        <v>7242.4320000000007</v>
      </c>
      <c r="AN44" s="342">
        <f>SUM(AN41:AN43)</f>
        <v>300</v>
      </c>
      <c r="AO44" s="343"/>
      <c r="AP44" s="344">
        <f>SUM(AP41:AP43)</f>
        <v>831</v>
      </c>
      <c r="AQ44" s="136"/>
      <c r="AR44" s="137">
        <f>SUM(AR41:AR43)</f>
        <v>5540</v>
      </c>
      <c r="AS44" s="138">
        <f>SUM(AS41:AS43)</f>
        <v>4180</v>
      </c>
      <c r="AT44" s="140"/>
      <c r="AU44" s="141"/>
      <c r="AV44" s="362">
        <f>SUM(AV41:AV43)</f>
        <v>338.88614014643758</v>
      </c>
      <c r="AW44" s="142">
        <f>SUM(AW41:AW43)</f>
        <v>1169.8861401464376</v>
      </c>
      <c r="AX44" s="366"/>
      <c r="AY44" s="370"/>
      <c r="AZ44" s="370"/>
      <c r="BA44" s="370">
        <f>SUM(BA41:BA43)</f>
        <v>33.216000000000001</v>
      </c>
      <c r="BB44" s="370">
        <f>SUM(BB41:BB43)</f>
        <v>459.77279547946154</v>
      </c>
      <c r="BC44" s="370">
        <f>SUM(BC41:BC43)</f>
        <v>3910.3410643741013</v>
      </c>
      <c r="BD44" s="245"/>
      <c r="BE44" s="252"/>
      <c r="BF44" s="253"/>
      <c r="BG44" s="252"/>
      <c r="BH44" s="253"/>
      <c r="BI44" s="244"/>
      <c r="BJ44" s="139"/>
      <c r="BK44" s="192"/>
      <c r="BL44" s="146">
        <f>SUM(BL41:BL43)</f>
        <v>1629.6589356258992</v>
      </c>
      <c r="BM44" s="145">
        <f>BL44*100/BN44</f>
        <v>29.416226274835726</v>
      </c>
      <c r="BN44" s="146">
        <f>SUM(BN41:BN43)</f>
        <v>5540</v>
      </c>
      <c r="BO44" s="145"/>
      <c r="BP44" s="148">
        <f>SUM(BP41:BP43)</f>
        <v>3910</v>
      </c>
      <c r="BQ44" s="193"/>
      <c r="BR44" s="194"/>
      <c r="BS44" s="195"/>
      <c r="BU44" s="12">
        <f>SUM(BU41:BU43)</f>
        <v>4</v>
      </c>
      <c r="BX44" s="12">
        <f>SUM(BX41:BX43)</f>
        <v>5</v>
      </c>
    </row>
    <row r="45" spans="1:78" x14ac:dyDescent="0.25">
      <c r="AH45" s="157"/>
      <c r="AJ45" s="157"/>
      <c r="AK45" s="157"/>
      <c r="AL45" s="157"/>
    </row>
    <row r="46" spans="1:78" x14ac:dyDescent="0.25">
      <c r="BL46" s="156">
        <f>BL44+BL35+BL20+BL13</f>
        <v>9629.6589356258992</v>
      </c>
    </row>
    <row r="47" spans="1:78" x14ac:dyDescent="0.25">
      <c r="BP47" s="155"/>
    </row>
    <row r="48" spans="1:78" x14ac:dyDescent="0.25">
      <c r="AQ48" s="24"/>
    </row>
    <row r="49" spans="43:43" x14ac:dyDescent="0.25">
      <c r="AQ49" s="24"/>
    </row>
    <row r="50" spans="43:43" x14ac:dyDescent="0.25">
      <c r="AQ50" s="24"/>
    </row>
  </sheetData>
  <mergeCells count="100">
    <mergeCell ref="P6:Q6"/>
    <mergeCell ref="B4:B5"/>
    <mergeCell ref="C4:F5"/>
    <mergeCell ref="G4:J5"/>
    <mergeCell ref="K4:O5"/>
    <mergeCell ref="P4:X4"/>
    <mergeCell ref="P5:W5"/>
    <mergeCell ref="V6:W6"/>
    <mergeCell ref="BJ4:BP4"/>
    <mergeCell ref="BJ5:BK5"/>
    <mergeCell ref="BL5:BM5"/>
    <mergeCell ref="BN5:BO5"/>
    <mergeCell ref="AJ4:AM5"/>
    <mergeCell ref="BD4:BI5"/>
    <mergeCell ref="Y4:AI5"/>
    <mergeCell ref="AQ4:AS5"/>
    <mergeCell ref="AN4:AP5"/>
    <mergeCell ref="AT4:AW5"/>
    <mergeCell ref="AX4:BC5"/>
    <mergeCell ref="BD6:BE6"/>
    <mergeCell ref="BF6:BG6"/>
    <mergeCell ref="BH6:BI6"/>
    <mergeCell ref="R6:S6"/>
    <mergeCell ref="T6:U6"/>
    <mergeCell ref="B15:B16"/>
    <mergeCell ref="C15:F16"/>
    <mergeCell ref="G15:J16"/>
    <mergeCell ref="K15:O16"/>
    <mergeCell ref="P15:X15"/>
    <mergeCell ref="P16:W16"/>
    <mergeCell ref="AX15:BC16"/>
    <mergeCell ref="BJ15:BP15"/>
    <mergeCell ref="BJ16:BK16"/>
    <mergeCell ref="BL16:BM16"/>
    <mergeCell ref="BN16:BO16"/>
    <mergeCell ref="BD15:BI16"/>
    <mergeCell ref="P17:Q17"/>
    <mergeCell ref="Y15:AI16"/>
    <mergeCell ref="AQ15:AS16"/>
    <mergeCell ref="AN15:AP16"/>
    <mergeCell ref="AT15:AW16"/>
    <mergeCell ref="AJ15:AM16"/>
    <mergeCell ref="V17:W17"/>
    <mergeCell ref="BD17:BE17"/>
    <mergeCell ref="BF17:BG17"/>
    <mergeCell ref="BH17:BI17"/>
    <mergeCell ref="R17:S17"/>
    <mergeCell ref="T17:U17"/>
    <mergeCell ref="B22:B23"/>
    <mergeCell ref="C22:F23"/>
    <mergeCell ref="G22:J23"/>
    <mergeCell ref="K22:O23"/>
    <mergeCell ref="P22:X22"/>
    <mergeCell ref="P23:W23"/>
    <mergeCell ref="AT22:AW23"/>
    <mergeCell ref="AX22:BC23"/>
    <mergeCell ref="BJ22:BP22"/>
    <mergeCell ref="BJ23:BK23"/>
    <mergeCell ref="BL23:BM23"/>
    <mergeCell ref="BN23:BO23"/>
    <mergeCell ref="BD22:BI23"/>
    <mergeCell ref="R24:S24"/>
    <mergeCell ref="T24:U24"/>
    <mergeCell ref="P24:Q24"/>
    <mergeCell ref="Y22:AI23"/>
    <mergeCell ref="AQ22:AS23"/>
    <mergeCell ref="AN22:AP23"/>
    <mergeCell ref="AJ22:AM23"/>
    <mergeCell ref="BD37:BI38"/>
    <mergeCell ref="V24:W24"/>
    <mergeCell ref="BD24:BE24"/>
    <mergeCell ref="BF24:BG24"/>
    <mergeCell ref="BH24:BI24"/>
    <mergeCell ref="B37:B38"/>
    <mergeCell ref="C37:F38"/>
    <mergeCell ref="G37:J38"/>
    <mergeCell ref="K37:O38"/>
    <mergeCell ref="P37:X37"/>
    <mergeCell ref="R39:S39"/>
    <mergeCell ref="T39:U39"/>
    <mergeCell ref="P39:Q39"/>
    <mergeCell ref="BQ37:BS37"/>
    <mergeCell ref="P38:W38"/>
    <mergeCell ref="BJ38:BK38"/>
    <mergeCell ref="BL38:BM38"/>
    <mergeCell ref="BN38:BO38"/>
    <mergeCell ref="BQ38:BS38"/>
    <mergeCell ref="Y37:AI38"/>
    <mergeCell ref="AQ37:AS38"/>
    <mergeCell ref="AN37:AP38"/>
    <mergeCell ref="AT37:AW38"/>
    <mergeCell ref="AX37:BC38"/>
    <mergeCell ref="BJ37:BP37"/>
    <mergeCell ref="AJ37:AM38"/>
    <mergeCell ref="BU39:BW39"/>
    <mergeCell ref="BX39:BZ39"/>
    <mergeCell ref="V39:W39"/>
    <mergeCell ref="BD39:BE39"/>
    <mergeCell ref="BF39:BG39"/>
    <mergeCell ref="BH39:BI39"/>
  </mergeCells>
  <phoneticPr fontId="36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&amp;LBâtiment Haefely
Site de La Doua&amp;C&amp;"-,Gras"&amp;12PRO
Mise en place de machines scientifiques&amp;RAJ Innov</oddHeader>
    <oddFooter>&amp;L12 Août 2024&amp;RIndice 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HAEF Bilan puissance CVC &amp; elec</vt:lpstr>
      <vt:lpstr>HAEF Bilan CVC pièce par pièce</vt:lpstr>
      <vt:lpstr>'HAEF Bilan puissance CVC &amp; elec'!Zone_d_impression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Jacqueson</dc:creator>
  <cp:lastModifiedBy>Alexandre Jacqueson</cp:lastModifiedBy>
  <cp:lastPrinted>2024-05-22T08:05:00Z</cp:lastPrinted>
  <dcterms:created xsi:type="dcterms:W3CDTF">2015-06-05T18:19:34Z</dcterms:created>
  <dcterms:modified xsi:type="dcterms:W3CDTF">2025-01-20T11:32:27Z</dcterms:modified>
</cp:coreProperties>
</file>