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voiesnavigablesdefrance-my.sharepoint.com/personal/virginie_beaulieu_scsne_fr/Documents/Documents/MARCHE_Mesures_Compensatoires/DCE V2/05_QSSE/Respect Dev Durable/"/>
    </mc:Choice>
  </mc:AlternateContent>
  <xr:revisionPtr revIDLastSave="10" documentId="13_ncr:1_{2F13AF36-2C73-4C1F-BB55-A2D54A1A7CA5}" xr6:coauthVersionLast="47" xr6:coauthVersionMax="47" xr10:uidLastSave="{D8F1B559-86B5-410E-BD33-19FC8845D4FE}"/>
  <bookViews>
    <workbookView xWindow="-108" yWindow="-108" windowWidth="23256" windowHeight="12576" tabRatio="831" xr2:uid="{00000000-000D-0000-FFFF-FFFF00000000}"/>
  </bookViews>
  <sheets>
    <sheet name="Page de garde" sheetId="12" r:id="rId1"/>
    <sheet name="B131-Suivi du bilan carbonne" sheetId="3" r:id="rId2"/>
    <sheet name="FE MAJ" sheetId="10" state="hidden" r:id="rId3"/>
    <sheet name="Informations diverses" sheetId="11" state="hidden" r:id="rId4"/>
  </sheets>
  <definedNames>
    <definedName name="_xlnm._FilterDatabase" localSheetId="2" hidden="1">'FE MAJ'!$A$1:$A$1475</definedName>
    <definedName name="ALLSUBANDPROJECTS">#REF!</definedName>
    <definedName name="ALLSUBPROJECTS">#REF!</definedName>
    <definedName name="batibas">#REF!</definedName>
    <definedName name="Charge_utile_en_tonne">#REF!</definedName>
    <definedName name="ChroniqueX">OFFSET(#REF!,,,1,#REF!)</definedName>
    <definedName name="ChroniqueXcourbe">OFFSET(#REF!,,,1,#REF!)</definedName>
    <definedName name="ChroniqueY">OFFSET(#REF!,,,1,#REF!)</definedName>
    <definedName name="ChroniqueY10">OFFSET(#REF!,,,1,#REF!)</definedName>
    <definedName name="ChroniqueY10cumul">OFFSET(#REF!,,,1,#REF!)</definedName>
    <definedName name="ChroniqueY11">OFFSET(#REF!,,,1,#REF!)</definedName>
    <definedName name="ChroniqueY11cumul">OFFSET(#REF!,,,1,#REF!)</definedName>
    <definedName name="ChroniqueY12">OFFSET(#REF!,,,1,#REF!)</definedName>
    <definedName name="ChroniqueY12cumul">OFFSET(#REF!,,,1,#REF!)</definedName>
    <definedName name="ChroniqueY13">OFFSET(#REF!,,,1,#REF!)</definedName>
    <definedName name="ChroniqueY13cumul">OFFSET(#REF!,,,1,#REF!)</definedName>
    <definedName name="ChroniqueY14">OFFSET(#REF!,,,1,#REF!)</definedName>
    <definedName name="ChroniqueY14cumul">OFFSET(#REF!,,,1,#REF!)</definedName>
    <definedName name="ChroniqueY15">OFFSET(#REF!,,,1,#REF!)</definedName>
    <definedName name="ChroniqueY15cumul">OFFSET(#REF!,,,1,#REF!)</definedName>
    <definedName name="ChroniqueY16">OFFSET(#REF!,,,1,#REF!)</definedName>
    <definedName name="ChroniqueY16cumul">OFFSET(#REF!,,,1,#REF!)</definedName>
    <definedName name="ChroniqueY17cumul">OFFSET(#REF!,,,1,#REF!)</definedName>
    <definedName name="ChroniqueY2">OFFSET(#REF!,,,1,#REF!)</definedName>
    <definedName name="ChroniqueY2cumul">OFFSET(#REF!,,,1,#REF!)</definedName>
    <definedName name="ChroniqueY3">OFFSET(#REF!,,,1,#REF!)</definedName>
    <definedName name="ChroniqueY3cumul">OFFSET(#REF!,,,1,#REF!)</definedName>
    <definedName name="ChroniqueY4cumul">OFFSET(#REF!,,,1,#REF!)</definedName>
    <definedName name="ChroniqueYcourbe">OFFSET(#REF!,,,1,#REF!)</definedName>
    <definedName name="ChroniqueYcumul">OFFSET(#REF!,,,1,#REF!)</definedName>
    <definedName name="ComparaisonX">OFFSET(#REF!,,,1,#REF!)</definedName>
    <definedName name="ComparaisonY1">OFFSET(#REF!,,,1,#REF!)</definedName>
    <definedName name="ComparaisonY10">OFFSET(#REF!,,1,#REF!)</definedName>
    <definedName name="ComparaisonY2">OFFSET(#REF!,,,1,#REF!)</definedName>
    <definedName name="ComparaisonY3">OFFSET(#REF!,,,1,#REF!)</definedName>
    <definedName name="ComparaisonY4">OFFSET(#REF!,,,1,#REF!)</definedName>
    <definedName name="ComparaisonY5">OFFSET(#REF!,,,1,#REF!)</definedName>
    <definedName name="ComparaisonY6">OFFSET(#REF!,,,1,#REF!)</definedName>
    <definedName name="ComparaisonY7">OFFSET(#REF!,,,1,#REF!)</definedName>
    <definedName name="ComparaisonY8">OFFSET(#REF!,,1,#REF!)</definedName>
    <definedName name="ComparaisonY9">OFFSET(#REF!,,1,#REF!)</definedName>
    <definedName name="Déchets" localSheetId="2">'FE MAJ'!$A$1419:$A$1472</definedName>
    <definedName name="Déchets">#REF!</definedName>
    <definedName name="Deforestation" localSheetId="3">#REF!</definedName>
    <definedName name="Deforestation">'FE MAJ'!#REF!</definedName>
    <definedName name="Déplacements" localSheetId="2">'FE MAJ'!$A$1020:$A$1182</definedName>
    <definedName name="Déplacements">#REF!</definedName>
    <definedName name="Energie" localSheetId="2">'FE MAJ'!$A$1184:$A$1386</definedName>
    <definedName name="Energie">#REF!</definedName>
    <definedName name="Fer">OFFSET(#REF!,0,0,COUNTA(#REF!),1)</definedName>
    <definedName name="FR_Charge_utile_en_m3">#REF!</definedName>
    <definedName name="FR_Charge_utile_en_tonne">#REF!</definedName>
    <definedName name="Fret" localSheetId="2">'FE MAJ'!$A$820:$A$1018</definedName>
    <definedName name="Fret">#REF!</definedName>
    <definedName name="INIES">#REF!</definedName>
    <definedName name="Intrants" localSheetId="3">#REF!</definedName>
    <definedName name="Intrants">'FE MAJ'!#REF!</definedName>
    <definedName name="jour">#REF!</definedName>
    <definedName name="lisetevalFE" localSheetId="2">INDEX(listeFE,MATCH(#REF!,listeFE,0)):INDEX(listeFE,MATCH(INDEX('FE MAJ'!surindexFE,1+MATCH(#REF!,'FE MAJ'!surindexFE,0)),listeFE,0))</definedName>
    <definedName name="Listecomplete">#REF!</definedName>
    <definedName name="listeFE" localSheetId="3">#REF!</definedName>
    <definedName name="listeFE">'FE MAJ'!$A$11:$A$1472</definedName>
    <definedName name="Materiaux" localSheetId="2">'FE MAJ'!$A$12:$A$645</definedName>
    <definedName name="Materiaux">#REF!</definedName>
    <definedName name="Matériaux" localSheetId="2">'FE MAJ'!$A$12:$A$645</definedName>
    <definedName name="Matériaux">#REF!</definedName>
    <definedName name="Materiels" localSheetId="2">'FE MAJ'!$A$647:$A$818</definedName>
    <definedName name="Materiels">#REF!</definedName>
    <definedName name="Matériels" localSheetId="2">'FE MAJ'!$A$647:$A$818</definedName>
    <definedName name="Matériels">#REF!</definedName>
    <definedName name="Ref_niveauprojet">#REF!</definedName>
    <definedName name="Ref_secteur">#REF!</definedName>
    <definedName name="repas">#REF!</definedName>
    <definedName name="sortiea3">#REF!</definedName>
    <definedName name="sortiea4">#REF!</definedName>
    <definedName name="sousTypeBrique">#REF!</definedName>
    <definedName name="SousTypeProjets">OFFSET(#REF!,1,#REF!-1,#REF!)</definedName>
    <definedName name="surindexFE" localSheetId="2">#REF!</definedName>
    <definedName name="surindexFE" localSheetId="3">#REF!</definedName>
    <definedName name="surindexFE">#REF!</definedName>
    <definedName name="table_courbes">#REF!</definedName>
    <definedName name="tableFE" localSheetId="2">'FE MAJ'!$A$10:$G$1472</definedName>
    <definedName name="tableFE" localSheetId="3">#REF!</definedName>
    <definedName name="tableFE">#REF!</definedName>
    <definedName name="Transport" localSheetId="3">#REF!</definedName>
    <definedName name="Transport">'FE MAJ'!#REF!</definedName>
    <definedName name="type_courbe">#REF!</definedName>
    <definedName name="typeBrique">#REF!</definedName>
    <definedName name="TypeProjets">#REF!</definedName>
    <definedName name="UTCF" localSheetId="2">'FE MAJ'!$A$1388:$A$1417</definedName>
    <definedName name="UTCF">#REF!</definedName>
    <definedName name="_xlnm.Print_Area" localSheetId="1">'B131-Suivi du bilan carbonne'!$D$7:$W$133</definedName>
    <definedName name="_xlnm.Print_Area" localSheetId="0">'Page de garde'!$A$1:$BR$57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2" i="3" l="1"/>
  <c r="O75" i="3"/>
  <c r="K75" i="3" s="1"/>
  <c r="N75" i="3"/>
  <c r="K61" i="3"/>
  <c r="O58" i="3"/>
  <c r="K58" i="3"/>
  <c r="K62" i="3"/>
  <c r="K56" i="3"/>
  <c r="O29" i="3"/>
  <c r="K29" i="3" s="1"/>
  <c r="O16" i="3"/>
  <c r="K16" i="3" s="1"/>
  <c r="N16" i="3"/>
  <c r="K132" i="3"/>
  <c r="K131" i="3"/>
  <c r="K130" i="3"/>
  <c r="K129" i="3"/>
  <c r="O128" i="3"/>
  <c r="K128" i="3" s="1"/>
  <c r="B127" i="3"/>
  <c r="B128" i="3" s="1"/>
  <c r="B125" i="3"/>
  <c r="O118" i="3"/>
  <c r="K118" i="3" s="1"/>
  <c r="K120" i="3"/>
  <c r="K70" i="3"/>
  <c r="K71" i="3"/>
  <c r="K74" i="3"/>
  <c r="K100" i="3"/>
  <c r="B100" i="3"/>
  <c r="B75" i="3"/>
  <c r="K63" i="3"/>
  <c r="B63" i="3"/>
  <c r="K46" i="3"/>
  <c r="B46" i="3"/>
  <c r="K53" i="3"/>
  <c r="K125" i="3" l="1"/>
  <c r="O121" i="3"/>
  <c r="K121" i="3" s="1"/>
  <c r="N121" i="3"/>
  <c r="O119" i="3"/>
  <c r="K119" i="3" s="1"/>
  <c r="N119" i="3"/>
  <c r="O108" i="3"/>
  <c r="N108" i="3"/>
  <c r="O109" i="3"/>
  <c r="K109" i="3" s="1"/>
  <c r="N109" i="3"/>
  <c r="K110" i="3"/>
  <c r="K115" i="3" l="1"/>
  <c r="K111" i="3"/>
  <c r="K99" i="3"/>
  <c r="K84" i="3" l="1"/>
  <c r="K85" i="3"/>
  <c r="K86" i="3"/>
  <c r="K87" i="3"/>
  <c r="K88" i="3"/>
  <c r="K89" i="3"/>
  <c r="K90" i="3"/>
  <c r="K91" i="3"/>
  <c r="K92" i="3"/>
  <c r="K93" i="3"/>
  <c r="K94" i="3"/>
  <c r="K95" i="3"/>
  <c r="K96" i="3"/>
  <c r="K97" i="3"/>
  <c r="K98" i="3"/>
  <c r="K83" i="3"/>
  <c r="K107" i="3"/>
  <c r="O73" i="3"/>
  <c r="K73" i="3" s="1"/>
  <c r="O72" i="3"/>
  <c r="K72" i="3" s="1"/>
  <c r="K67" i="3" l="1"/>
  <c r="K80" i="3"/>
  <c r="O15" i="3"/>
  <c r="K15" i="3" s="1"/>
  <c r="K55" i="3"/>
  <c r="K54" i="3"/>
  <c r="K57" i="3"/>
  <c r="K59" i="3"/>
  <c r="K60" i="3"/>
  <c r="C14" i="10"/>
  <c r="K108" i="3"/>
  <c r="K104" i="3" s="1"/>
  <c r="K28" i="3"/>
  <c r="K30" i="3"/>
  <c r="K31" i="3"/>
  <c r="K32" i="3"/>
  <c r="K33" i="3"/>
  <c r="K34" i="3"/>
  <c r="K35" i="3"/>
  <c r="K27" i="3"/>
  <c r="B82" i="3"/>
  <c r="B80" i="3"/>
  <c r="C1416" i="10"/>
  <c r="C1415" i="10"/>
  <c r="C1305" i="10"/>
  <c r="C1304" i="10"/>
  <c r="C1288" i="10"/>
  <c r="D1281" i="10"/>
  <c r="C1281" i="10"/>
  <c r="C1272" i="10"/>
  <c r="C1264" i="10"/>
  <c r="C1233" i="10"/>
  <c r="C1231" i="10"/>
  <c r="C1209" i="10"/>
  <c r="C1177" i="10"/>
  <c r="C1176" i="10"/>
  <c r="C1170" i="10"/>
  <c r="C1169" i="10"/>
  <c r="C1168" i="10"/>
  <c r="C1167" i="10"/>
  <c r="C1162" i="10"/>
  <c r="C1161" i="10"/>
  <c r="C1160" i="10"/>
  <c r="C1122" i="10"/>
  <c r="C1121" i="10"/>
  <c r="C1120" i="10"/>
  <c r="C1117" i="10"/>
  <c r="C1116" i="10"/>
  <c r="C1093" i="10"/>
  <c r="C1092" i="10"/>
  <c r="C1086" i="10"/>
  <c r="C1078" i="10"/>
  <c r="C1077" i="10"/>
  <c r="C1022" i="10"/>
  <c r="C1011" i="10"/>
  <c r="C1010" i="10"/>
  <c r="C1009" i="10"/>
  <c r="C1008" i="10"/>
  <c r="C999" i="10"/>
  <c r="C998" i="10"/>
  <c r="C997" i="10"/>
  <c r="C996" i="10"/>
  <c r="C995" i="10"/>
  <c r="C962" i="10"/>
  <c r="C961" i="10"/>
  <c r="C960" i="10"/>
  <c r="C959" i="10"/>
  <c r="C952" i="10"/>
  <c r="C947" i="10"/>
  <c r="C946" i="10"/>
  <c r="C945" i="10"/>
  <c r="C944" i="10"/>
  <c r="C943" i="10"/>
  <c r="C942" i="10"/>
  <c r="C925" i="10"/>
  <c r="C924" i="10"/>
  <c r="C923" i="10"/>
  <c r="C922" i="10"/>
  <c r="C913" i="10"/>
  <c r="C912" i="10"/>
  <c r="C902" i="10"/>
  <c r="C901" i="10"/>
  <c r="C900" i="10"/>
  <c r="C899" i="10"/>
  <c r="C898" i="10"/>
  <c r="C897" i="10"/>
  <c r="C896" i="10"/>
  <c r="C895" i="10"/>
  <c r="C894" i="10"/>
  <c r="C864" i="10"/>
  <c r="C863" i="10"/>
  <c r="C862" i="10"/>
  <c r="C861" i="10"/>
  <c r="C860" i="10"/>
  <c r="C859" i="10"/>
  <c r="C858" i="10"/>
  <c r="C630" i="10"/>
  <c r="C629" i="10"/>
  <c r="C628" i="10"/>
  <c r="E539" i="10"/>
  <c r="C429" i="10"/>
  <c r="C428" i="10"/>
  <c r="C427" i="10"/>
  <c r="C426" i="10"/>
  <c r="C409" i="10"/>
  <c r="C368" i="10"/>
  <c r="C367" i="10"/>
  <c r="C331" i="10"/>
  <c r="C330" i="10"/>
  <c r="C329" i="10"/>
  <c r="C328" i="10"/>
  <c r="C327" i="10"/>
  <c r="C326" i="10"/>
  <c r="C325" i="10"/>
  <c r="C324" i="10"/>
  <c r="C323" i="10"/>
  <c r="C322" i="10"/>
  <c r="C321" i="10"/>
  <c r="C320" i="10"/>
  <c r="C319" i="10"/>
  <c r="C318" i="10"/>
  <c r="C271" i="10"/>
  <c r="C264" i="10"/>
  <c r="C242" i="10"/>
  <c r="C209" i="10"/>
  <c r="C191" i="10"/>
  <c r="C169" i="10"/>
  <c r="C153" i="10"/>
  <c r="C152" i="10"/>
  <c r="C151" i="10"/>
  <c r="C150" i="10"/>
  <c r="C149" i="10"/>
  <c r="C144" i="10"/>
  <c r="C137" i="10"/>
  <c r="C136" i="10"/>
  <c r="C135" i="10"/>
  <c r="C134" i="10"/>
  <c r="C133" i="10"/>
  <c r="C132" i="10"/>
  <c r="C114" i="10"/>
  <c r="C104" i="10"/>
  <c r="C97" i="10"/>
  <c r="C93" i="10"/>
  <c r="C39" i="10"/>
  <c r="C38" i="10"/>
  <c r="C37" i="10"/>
  <c r="C36" i="10"/>
  <c r="C35" i="10"/>
  <c r="C33" i="10"/>
  <c r="C29" i="10"/>
  <c r="C27" i="10"/>
  <c r="C20" i="10"/>
  <c r="K24" i="3" l="1"/>
  <c r="K50" i="3"/>
  <c r="K43" i="3"/>
  <c r="K44" i="3"/>
  <c r="K45" i="3"/>
  <c r="K20" i="3"/>
  <c r="K17" i="3"/>
  <c r="K18" i="3"/>
  <c r="K19" i="3"/>
  <c r="B69" i="3"/>
  <c r="B70" i="3" s="1"/>
  <c r="B67" i="3"/>
  <c r="K39" i="3" l="1"/>
  <c r="K12" i="3"/>
  <c r="N7" i="3" s="1"/>
  <c r="B52" i="3"/>
  <c r="B54" i="3" s="1"/>
  <c r="B50" i="3"/>
  <c r="B39" i="3"/>
  <c r="B41" i="3" s="1"/>
  <c r="B42" i="3" s="1"/>
  <c r="B12" i="3" l="1"/>
  <c r="B14" i="3" s="1"/>
  <c r="B15" i="3" s="1"/>
  <c r="B24" i="3" l="1"/>
  <c r="B26" i="3" s="1"/>
  <c r="B104" i="3"/>
  <c r="B105" i="3" s="1"/>
  <c r="A103" i="3"/>
  <c r="B106" i="3" l="1"/>
  <c r="B107" i="3" s="1"/>
  <c r="B108" i="3" s="1"/>
  <c r="B27" i="3"/>
  <c r="B35" i="3" l="1"/>
  <c r="B37" i="3" l="1"/>
</calcChain>
</file>

<file path=xl/sharedStrings.xml><?xml version="1.0" encoding="utf-8"?>
<sst xmlns="http://schemas.openxmlformats.org/spreadsheetml/2006/main" count="9192" uniqueCount="2015">
  <si>
    <t>Ind.</t>
  </si>
  <si>
    <t>Date</t>
  </si>
  <si>
    <t>Table des révisons</t>
  </si>
  <si>
    <t>Emetteur</t>
  </si>
  <si>
    <t>Secteur</t>
  </si>
  <si>
    <t xml:space="preserve">Phase </t>
  </si>
  <si>
    <t>Domaine</t>
  </si>
  <si>
    <t>Type doc</t>
  </si>
  <si>
    <t>Num</t>
  </si>
  <si>
    <t>Ind</t>
  </si>
  <si>
    <t>Entités</t>
  </si>
  <si>
    <t>Destinataires</t>
  </si>
  <si>
    <t>Copies</t>
  </si>
  <si>
    <t>Classement</t>
  </si>
  <si>
    <t>Ouvrage</t>
  </si>
  <si>
    <t>Date de mise à jour :</t>
  </si>
  <si>
    <t>Niveau de confidentialité :</t>
  </si>
  <si>
    <t>Classe du document :</t>
  </si>
  <si>
    <t>Restreint</t>
  </si>
  <si>
    <t>Marché cible</t>
  </si>
  <si>
    <t>Raison d’émission de version</t>
  </si>
  <si>
    <t>Établi</t>
  </si>
  <si>
    <t>Codification (nom du fichier)</t>
  </si>
  <si>
    <t>Energie</t>
  </si>
  <si>
    <t>Intrants</t>
  </si>
  <si>
    <t>Déplacements</t>
  </si>
  <si>
    <t>Fret</t>
  </si>
  <si>
    <t>Déchets</t>
  </si>
  <si>
    <t>UTCF</t>
  </si>
  <si>
    <t>Mesures compensatoires</t>
  </si>
  <si>
    <t>Commentaire</t>
  </si>
  <si>
    <t>k€</t>
  </si>
  <si>
    <t>tCO2e</t>
  </si>
  <si>
    <t>-- Services --</t>
  </si>
  <si>
    <t>Service BE Setec</t>
  </si>
  <si>
    <t>ha</t>
  </si>
  <si>
    <t>Données calculées</t>
  </si>
  <si>
    <t>-- Déboisement --</t>
  </si>
  <si>
    <t>Forêt de feuillus     /ha</t>
  </si>
  <si>
    <t>Forêt de conifères     /ha</t>
  </si>
  <si>
    <t>Espace verts     /ha</t>
  </si>
  <si>
    <t>Surface viticole     /ha</t>
  </si>
  <si>
    <t>Arbres isolés     /arbre</t>
  </si>
  <si>
    <t>arbre</t>
  </si>
  <si>
    <t>m3</t>
  </si>
  <si>
    <t>km</t>
  </si>
  <si>
    <t>-- Fret Routier --</t>
  </si>
  <si>
    <t>Ensemble articulé  40 tonnes PTRA Benne  TP
Gazole routier     /veh.km</t>
  </si>
  <si>
    <t>veh.km</t>
  </si>
  <si>
    <t/>
  </si>
  <si>
    <t>-- Combustibles --</t>
  </si>
  <si>
    <t>Gasoil non routier, France     /L</t>
  </si>
  <si>
    <t>L</t>
  </si>
  <si>
    <t>-- Matériaux issus de carrière --</t>
  </si>
  <si>
    <t>Chaux fabrication     /T</t>
  </si>
  <si>
    <t>T</t>
  </si>
  <si>
    <t>-- Matériaux cimentaires --</t>
  </si>
  <si>
    <t>Bentonite     /T</t>
  </si>
  <si>
    <t>-- Bitumes --</t>
  </si>
  <si>
    <t>m2</t>
  </si>
  <si>
    <t>kWh</t>
  </si>
  <si>
    <t>-- Electricité --</t>
  </si>
  <si>
    <t>U</t>
  </si>
  <si>
    <t>T.km</t>
  </si>
  <si>
    <t>Matériaux</t>
  </si>
  <si>
    <t>GNT     /m3</t>
  </si>
  <si>
    <t>Grave      /T</t>
  </si>
  <si>
    <t>Béton bitumineux - fabrication     /T</t>
  </si>
  <si>
    <t>Grave bitume 3     /T</t>
  </si>
  <si>
    <t>m</t>
  </si>
  <si>
    <t>Béton     /m3</t>
  </si>
  <si>
    <t>BBSG 0/10     /T</t>
  </si>
  <si>
    <t>-- Métaux --</t>
  </si>
  <si>
    <t>Acier ou fer blanc (partiellement recyclé)     /T</t>
  </si>
  <si>
    <t>kg</t>
  </si>
  <si>
    <t>Equipements</t>
  </si>
  <si>
    <t>-- Equipements --</t>
  </si>
  <si>
    <t>Asphalte de voirie - chaussée, ép 35mm      /m2</t>
  </si>
  <si>
    <t>ml</t>
  </si>
  <si>
    <t>-- Elements complets --</t>
  </si>
  <si>
    <t>Revêtement d'étanchéité, complexe mixte      /m2</t>
  </si>
  <si>
    <t>Béton bitumineux - fabrication     /m3</t>
  </si>
  <si>
    <t>Asphalte de voirie - trottoir, ép 20mm      /m2</t>
  </si>
  <si>
    <t>-- Autres --</t>
  </si>
  <si>
    <t>Brique     /kg</t>
  </si>
  <si>
    <t>Palplanches     /T</t>
  </si>
  <si>
    <t>Electricité de réseau en France</t>
  </si>
  <si>
    <t>Construction bâtiment béton     /m2 SHON</t>
  </si>
  <si>
    <t>-- CET --</t>
  </si>
  <si>
    <t>Verre</t>
  </si>
  <si>
    <t>Construction bâtiment structure métallique     /m2 SHON</t>
  </si>
  <si>
    <t>Volume intérieur (si hauteur sous plafond supérieure à 3,5 m) pour bâtiment béton     /m3</t>
  </si>
  <si>
    <t>Volume intérieur (si hauteur sous plafond supérieure à 3,5 m) pour bâtiment structure métallique     /m3</t>
  </si>
  <si>
    <t>Démolition bâtiment     /m2</t>
  </si>
  <si>
    <t>Restructuration bâtiment béton     /m2 SHON</t>
  </si>
  <si>
    <t>Fonte (avaloirs, cadres et tampons)      /T</t>
  </si>
  <si>
    <t>Béton armé - fabrication     /T</t>
  </si>
  <si>
    <t>Béton armé - fabrication     /m3</t>
  </si>
  <si>
    <t>-- Plastiques --</t>
  </si>
  <si>
    <t>PELD     /kg</t>
  </si>
  <si>
    <t>PVC (fabrication neuf)     /T</t>
  </si>
  <si>
    <t>Cuivre courant     /kg</t>
  </si>
  <si>
    <t>Ensemble articulé  40 tonnes PTRA Marchandises diverses/longue distance Gazole routier     /veh.km</t>
  </si>
  <si>
    <t>Béton     /T</t>
  </si>
  <si>
    <t>-- Trains --</t>
  </si>
  <si>
    <t>Train en France, TGV     /p.km</t>
  </si>
  <si>
    <t>-- Voiture --</t>
  </si>
  <si>
    <t>Ensemble - VP moyen     /veh.km</t>
  </si>
  <si>
    <t>-- Aériens --</t>
  </si>
  <si>
    <t>-- Deux Roues --</t>
  </si>
  <si>
    <t>-- TC --</t>
  </si>
  <si>
    <t>Traverse monobloc M450     /U</t>
  </si>
  <si>
    <t>Fixation Nabla     /U</t>
  </si>
  <si>
    <t>-- Fret Ferroviaire --</t>
  </si>
  <si>
    <t>Train traction diesel - 22 wagons - 1360 tonnes     /T.km</t>
  </si>
  <si>
    <t>Train traction éléctrique France EDF - 22 wagons - 1360 tonnes     /T.km</t>
  </si>
  <si>
    <t>Ballast      /T</t>
  </si>
  <si>
    <t>Géotextile     /m2</t>
  </si>
  <si>
    <t>Pierres de carrière     /T</t>
  </si>
  <si>
    <t>Préfa Béton (regard, bordures..)     /T</t>
  </si>
  <si>
    <t>-- Changement d'usage des sols --</t>
  </si>
  <si>
    <t>Sol à haute activité     /ha</t>
  </si>
  <si>
    <t>Sol à faible activité     /ha</t>
  </si>
  <si>
    <t>Sol sableux     /ha</t>
  </si>
  <si>
    <t>Sol volcanique     /ha</t>
  </si>
  <si>
    <t>Sol marécageux     /ha</t>
  </si>
  <si>
    <t>Légende</t>
  </si>
  <si>
    <t>valeur</t>
  </si>
  <si>
    <t>Intitulé</t>
  </si>
  <si>
    <t>Mur en maçonnerie de blocs en béton     /m2</t>
  </si>
  <si>
    <t>Matériels</t>
  </si>
  <si>
    <t>unité
(kgCO2/unité)</t>
  </si>
  <si>
    <t>incertitude</t>
  </si>
  <si>
    <t>poste</t>
  </si>
  <si>
    <t>source</t>
  </si>
  <si>
    <t>BC2. 59 (Outil du CG59)</t>
  </si>
  <si>
    <t>Matériaux cimentaires</t>
  </si>
  <si>
    <t>BC Epinal-Belfort</t>
  </si>
  <si>
    <t>Béton (C25/30CEM II) - fabrication     /T</t>
  </si>
  <si>
    <t>Base Carbone - Juin 2013</t>
  </si>
  <si>
    <t>EcoInvent 2.0</t>
  </si>
  <si>
    <t>Outil RFF - Version Béta</t>
  </si>
  <si>
    <t>Ciment réfractaire     /kg</t>
  </si>
  <si>
    <t>Clôture pleine en béton, hauteur 2m      /ml</t>
  </si>
  <si>
    <t>FDES</t>
  </si>
  <si>
    <t xml:space="preserve">Fin de vie : 1,349326 kg eq CO2 / U </t>
  </si>
  <si>
    <t>Ecran acoustique en béton      /m2</t>
  </si>
  <si>
    <t xml:space="preserve">Fin de vie : 8,688966 kg eq CO2 / U </t>
  </si>
  <si>
    <t>Mortier adhésif     /kg</t>
  </si>
  <si>
    <t>Mur porteur béton ép 15cm      /m2</t>
  </si>
  <si>
    <t xml:space="preserve">Fin de vie : 2,52802 kg eq CO2 / U </t>
  </si>
  <si>
    <t>Parpaing     /kg</t>
  </si>
  <si>
    <t>Parpaing allégé prise en autoclave     /kg</t>
  </si>
  <si>
    <t>Prédalle en béton précontraint      /m2</t>
  </si>
  <si>
    <t>Tuiles céramiques     /kg</t>
  </si>
  <si>
    <t>Agrégats      /kg</t>
  </si>
  <si>
    <t>Matériaux issus de carrière</t>
  </si>
  <si>
    <t>Argile "clay at mine"     /T</t>
  </si>
  <si>
    <t>LGV Est (EcoInvent)</t>
  </si>
  <si>
    <t>pour l'argile brute</t>
  </si>
  <si>
    <t>Argile "expanded clay"     /T</t>
  </si>
  <si>
    <t>pour les pots et tuyaux en argile</t>
  </si>
  <si>
    <t>Chaux fin de vie     /T</t>
  </si>
  <si>
    <t>Chaux hydratée     /kg</t>
  </si>
  <si>
    <t>Chaux hydraulique     /kg</t>
  </si>
  <si>
    <t>Chaux vive     /kg</t>
  </si>
  <si>
    <t>Gravier de rivière     /kg</t>
  </si>
  <si>
    <t>BC aéroport Réunion (ADEME)</t>
  </si>
  <si>
    <t>Supplément de 20 % pour construction</t>
  </si>
  <si>
    <t>Plaque de plâtre     /kg</t>
  </si>
  <si>
    <t>Plâtre     /kg</t>
  </si>
  <si>
    <t>Revêtement pierre brute     /kg</t>
  </si>
  <si>
    <t>Revêtement pierre polie     /kg</t>
  </si>
  <si>
    <t>Schistes     /T</t>
  </si>
  <si>
    <t>Silicate     /T</t>
  </si>
  <si>
    <t>Métaux</t>
  </si>
  <si>
    <t xml:space="preserve">Mix européen </t>
  </si>
  <si>
    <t>Acier ou fer blanc (fabrication ex-recyclé)     /T</t>
  </si>
  <si>
    <t>Acier ou fer blanc (fabrication neuf)     /T</t>
  </si>
  <si>
    <t>LGV EE (ADEME)</t>
  </si>
  <si>
    <t>Aluminium neuf     /kg</t>
  </si>
  <si>
    <t>Argent     /kg</t>
  </si>
  <si>
    <t>Autres métaux courants - moyenne     /T</t>
  </si>
  <si>
    <t>LGV Est (ADEME V7)</t>
  </si>
  <si>
    <t>Brazure sans cadmium     /kg</t>
  </si>
  <si>
    <t>95% Cu 5% Sn</t>
  </si>
  <si>
    <t>Bronze     /kg</t>
  </si>
  <si>
    <t>Cadmium (neuf)     /kg</t>
  </si>
  <si>
    <t>Canalisation acier     /ml</t>
  </si>
  <si>
    <t>LGV Est (VEOLIA)</t>
  </si>
  <si>
    <t>Chrome     /kg</t>
  </si>
  <si>
    <t>Cobalt     /kg</t>
  </si>
  <si>
    <t>Cuivre (recyclé)     /kg</t>
  </si>
  <si>
    <t>Etain     /kg</t>
  </si>
  <si>
    <t>Ferraillages     /T</t>
  </si>
  <si>
    <t>Obtenu par ratio</t>
  </si>
  <si>
    <t>Fournitures métalliques de type galva (clôture, poteau, glissière..)     /T</t>
  </si>
  <si>
    <t>Laitier     /T</t>
  </si>
  <si>
    <t>Laiton     /kg</t>
  </si>
  <si>
    <t>Lithium     /kg</t>
  </si>
  <si>
    <t>Magnesium     /kg</t>
  </si>
  <si>
    <t>Manganese     /kg</t>
  </si>
  <si>
    <t>Mercure     /kg</t>
  </si>
  <si>
    <t>Molybdène     /kg</t>
  </si>
  <si>
    <t>Nickel     /kg</t>
  </si>
  <si>
    <t>Or     /kg</t>
  </si>
  <si>
    <t>Palladium     /kg</t>
  </si>
  <si>
    <t>Platine     /kg</t>
  </si>
  <si>
    <t>Poutrelle en acier      /ml</t>
  </si>
  <si>
    <t>Rhodium     /kg</t>
  </si>
  <si>
    <t>Zinc (neuf)     /kg</t>
  </si>
  <si>
    <t>Adhésif bitumineux à chaud     /kg</t>
  </si>
  <si>
    <t>Bitumes</t>
  </si>
  <si>
    <t>Adhésif bitumineux à froid     /kg</t>
  </si>
  <si>
    <t>Adhésif bitumineux pour étanchéité     /kg</t>
  </si>
  <si>
    <t>Agrégats d'enrobés GR 250     /T</t>
  </si>
  <si>
    <t>BBDr 0/10     /T</t>
  </si>
  <si>
    <t>BBDr 0/10 10 % d'agrégats d'enrobés     /T</t>
  </si>
  <si>
    <t>BBF     /T</t>
  </si>
  <si>
    <t>BBF 10 % d'agrégats d'enrobés BBF 10     /T</t>
  </si>
  <si>
    <t>BBME      /T</t>
  </si>
  <si>
    <t>BBME 10 % d'agrégats d'enrobés     /T</t>
  </si>
  <si>
    <t>BBSG 0/10     /m3</t>
  </si>
  <si>
    <t>BBTM 0/10     /T</t>
  </si>
  <si>
    <t>BBTM 0/10 10 % d'agrégats d'enrobés     /T</t>
  </si>
  <si>
    <t>Béton armé continu (routier) - fabrication     /T</t>
  </si>
  <si>
    <t>Béton armé continu (routier) - fin de vie     /T</t>
  </si>
  <si>
    <t>Béton bitumineux - fin de vie     /T</t>
  </si>
  <si>
    <t>Béton bitumineux à froid - fabrication     /T</t>
  </si>
  <si>
    <t>Béton bitumineux à froid - fin de vie     /T</t>
  </si>
  <si>
    <t>Béton bitumineux avec 10% REC - fabrication     /T</t>
  </si>
  <si>
    <t>Béton bitumineux avec 10% REC - fin de vie     /T</t>
  </si>
  <si>
    <t>Béton bitumineux avec 20% REC - fabrication     /T</t>
  </si>
  <si>
    <t>Béton bitumineux avec 20% REC - fin de vie     /T</t>
  </si>
  <si>
    <t>Béton bitumineux avec 30% REC - fabrication     /T</t>
  </si>
  <si>
    <t>Béton bitumineux avec 30% REC - fin de vie     /T</t>
  </si>
  <si>
    <t>Béton bitumineux avec 50% REC - fabrication     /T</t>
  </si>
  <si>
    <t>Béton bitumineux avec 50% REC - fin de vie     /T</t>
  </si>
  <si>
    <t>Béton de ciment (routier) - fabrication     /T</t>
  </si>
  <si>
    <t>Béton de ciment (routier) - fin de vie     /T</t>
  </si>
  <si>
    <t>Bitume     /T</t>
  </si>
  <si>
    <t>Bitume polymère 3 %     /T</t>
  </si>
  <si>
    <t>Bitume polymère 3,5 %     /T</t>
  </si>
  <si>
    <t>Bitume polymère 4 %     /T</t>
  </si>
  <si>
    <t>Bitume polymère 4,5 %     /T</t>
  </si>
  <si>
    <t>Bitume polymère 5 %     /T</t>
  </si>
  <si>
    <t>Bitume polymère 5,5 %     /T</t>
  </si>
  <si>
    <t>Bitume polymère 6 %     /T</t>
  </si>
  <si>
    <t>Bitume polymère 6,5 %     /T</t>
  </si>
  <si>
    <t>Bitume polymère 7 %     /T</t>
  </si>
  <si>
    <t>Bitume pur 10/20     /T</t>
  </si>
  <si>
    <t>Bitume pur 15/25     /T</t>
  </si>
  <si>
    <t>Bitume pur 160/220     /T</t>
  </si>
  <si>
    <t>Bitume pur 20/30     /T</t>
  </si>
  <si>
    <t>Bitume pur 35/50     /T</t>
  </si>
  <si>
    <t>Bitume pur 50/70     /T</t>
  </si>
  <si>
    <t>Bitume pur 70/100     /T</t>
  </si>
  <si>
    <t>Couche d'accrochage      /T</t>
  </si>
  <si>
    <t>EME classe 2  0/10     /T</t>
  </si>
  <si>
    <t>EME classe 2  0/10     /m3</t>
  </si>
  <si>
    <t>EME classe 2  0/10 10 % d'agrégats d'enrobés     /T</t>
  </si>
  <si>
    <t>EME classe 2  0/10 20 % d'agrégats d'enrobés     /T</t>
  </si>
  <si>
    <t>EME classe 2  0/10 40 % d'agrégats d'enrobés     /T</t>
  </si>
  <si>
    <t>Emulsion - Couche de cure - Enduit d'attente     /T</t>
  </si>
  <si>
    <t>Emulsion 60 % EM 100     /T</t>
  </si>
  <si>
    <t>Emulsion 65 % EM 120     /T</t>
  </si>
  <si>
    <t>Emulsion 69 % EM 150     /T</t>
  </si>
  <si>
    <t>Enrobé à module élevé     /T</t>
  </si>
  <si>
    <t>Enrobé tiède     /T</t>
  </si>
  <si>
    <t>Enrobés à chaud, EME, Béton Bitumineux - Gaz naturel     /T</t>
  </si>
  <si>
    <t>Enrobés à froid, BBF      /T</t>
  </si>
  <si>
    <t>Filler d'apport GR 120     /T</t>
  </si>
  <si>
    <t>GB 0/14  10 % d'agrégats d'enrobés     /T</t>
  </si>
  <si>
    <t>GB 0/14  20 % d'agrégats d'enrobés     /T</t>
  </si>
  <si>
    <t>GB 0/14  40 % d'agrégats d'enrobés     /T</t>
  </si>
  <si>
    <t>GNT     /T</t>
  </si>
  <si>
    <t>LGV RR</t>
  </si>
  <si>
    <t>Granulat laitier GR 400     /T</t>
  </si>
  <si>
    <t>Granulat naturel GR 100     /T</t>
  </si>
  <si>
    <t>Granulat recyclé GR 200     /T</t>
  </si>
  <si>
    <t>Granulat schiste GR 450     /T</t>
  </si>
  <si>
    <t>Grave bitume 3     /m3</t>
  </si>
  <si>
    <t>Grave ciment     /T</t>
  </si>
  <si>
    <t>Grave ciment préfissurée     /T</t>
  </si>
  <si>
    <t>Grave émulsion     /T</t>
  </si>
  <si>
    <t>Grave hydraulique     /T</t>
  </si>
  <si>
    <t>Grave hydrocarbonée      /T</t>
  </si>
  <si>
    <t>Grave liant hydraulique     /T</t>
  </si>
  <si>
    <t>Grave liant routier préfissurée     /T</t>
  </si>
  <si>
    <t>Grave non traitée     /T</t>
  </si>
  <si>
    <t>Grave non traitée GR 130     /T</t>
  </si>
  <si>
    <t>Grave recyclée      /T</t>
  </si>
  <si>
    <t>Gravillons GR 110     /T</t>
  </si>
  <si>
    <t>Mastic étanchéité asphalt     /kg</t>
  </si>
  <si>
    <t>Mousse de bitume MO 100     /T</t>
  </si>
  <si>
    <t>Recyclage en place à chaud (REC)     /T</t>
  </si>
  <si>
    <t>Recyclage en place à l'émulsion     /T</t>
  </si>
  <si>
    <t>Sable classe 3     /T</t>
  </si>
  <si>
    <t>Sable stabilisé     /T</t>
  </si>
  <si>
    <t>Sables GR 150     /T</t>
  </si>
  <si>
    <t>Sol traité liant routier     /T</t>
  </si>
  <si>
    <t>ABS     /kg</t>
  </si>
  <si>
    <t>Plastique thermoplastique</t>
  </si>
  <si>
    <t>Plastiques</t>
  </si>
  <si>
    <t>Amidon modifié     /kg</t>
  </si>
  <si>
    <t>Plastique thermoplastique. Base "materbi" de Novamount</t>
  </si>
  <si>
    <t>BR     /kg</t>
  </si>
  <si>
    <t>Plastique caoutchouc, Composition type : Butadiène à 25% de Carbone</t>
  </si>
  <si>
    <t>Canalisations PE avec forage dirigé, DN &lt;=125mm     /ml</t>
  </si>
  <si>
    <t>Canalisations PE avec tranchées, DN &lt;= 225mm     /ml</t>
  </si>
  <si>
    <t>Canalisations PE avec tranchées, DN &lt;=125mm     /ml</t>
  </si>
  <si>
    <t>Canalisations PE avec tranchées, DN &lt;=355mm     /ml</t>
  </si>
  <si>
    <t>Canalisations PE avec tranchées, DN &lt;=63mm     /ml</t>
  </si>
  <si>
    <t>Complexe de doublage d'isol. Therm.     /m2 de paroi</t>
  </si>
  <si>
    <t>m2 de paroi</t>
  </si>
  <si>
    <t>Composites et polyuréthane - moyenne     /T</t>
  </si>
  <si>
    <t>Diisocyanate MDI pour PUR     /kg</t>
  </si>
  <si>
    <t>Plastique thermodurcissable</t>
  </si>
  <si>
    <t>Diisocyanate TDI pour PUR     /kg</t>
  </si>
  <si>
    <t>Drains     /ml</t>
  </si>
  <si>
    <t>Elastomère     /T</t>
  </si>
  <si>
    <t>EPDM     /kg</t>
  </si>
  <si>
    <t>Epoxide (résine)     /kg</t>
  </si>
  <si>
    <t>Plastique thermodurcissable, epoxy liquide, usage pour  stratifiés</t>
  </si>
  <si>
    <t>Epoxide chargée oxyde d'alu     /kg</t>
  </si>
  <si>
    <t>Epoxide chargée silice     /kg</t>
  </si>
  <si>
    <t>EVA     /kg</t>
  </si>
  <si>
    <t>EVA feuille     /kg</t>
  </si>
  <si>
    <t>Fibre de PE     /kg</t>
  </si>
  <si>
    <t>Film de PVF     /kg</t>
  </si>
  <si>
    <t>Film d'emballage en PELD     /kg</t>
  </si>
  <si>
    <t>Films plastiques PET - pas recyclable (fabrication neuf)     /T</t>
  </si>
  <si>
    <t>Melamine MF     /kg</t>
  </si>
  <si>
    <t>Moussage in situ UF     /kg</t>
  </si>
  <si>
    <t>10 à 30kg/m3; 0,035W/mK</t>
  </si>
  <si>
    <t>PA6     /kg</t>
  </si>
  <si>
    <t>PA6 + FV     /kg</t>
  </si>
  <si>
    <t>PA66     /kg</t>
  </si>
  <si>
    <t>PA66 + FV     /kg</t>
  </si>
  <si>
    <t>PELLD     /kg</t>
  </si>
  <si>
    <t>PET (fabrication ex-recyclé)     /T</t>
  </si>
  <si>
    <t>PET (fabrication neuf)     /T</t>
  </si>
  <si>
    <t>PLA     /kg</t>
  </si>
  <si>
    <t>PMMA feuilles     /kg</t>
  </si>
  <si>
    <t>Polyester insaturé (résine) UP     /kg</t>
  </si>
  <si>
    <t>Polyol pour PUR     /kg</t>
  </si>
  <si>
    <t>Polysulfide     /kg</t>
  </si>
  <si>
    <t>PPS     /kg</t>
  </si>
  <si>
    <t>Production de fibres PET     /kg</t>
  </si>
  <si>
    <t>PTFE film     /kg</t>
  </si>
  <si>
    <t>PVC (fabrication ex-recyclé)     /T</t>
  </si>
  <si>
    <t>PVDC     /kg</t>
  </si>
  <si>
    <t>PVF     /kg</t>
  </si>
  <si>
    <t>Revêtement de sol PVC homogène     /m2 de sol</t>
  </si>
  <si>
    <t>m2 de sol</t>
  </si>
  <si>
    <t>SMC préimprégné     /kg</t>
  </si>
  <si>
    <t>Plastique thermodurcissable, sheet molding compound utilisé pour pièces de type capots, ex: capot AR de voiture moulé à chaud</t>
  </si>
  <si>
    <t>Urée Formol UF     /kg</t>
  </si>
  <si>
    <t>Bardage alu     /m2</t>
  </si>
  <si>
    <t>Masse  87 kg /m2; transports non compris</t>
  </si>
  <si>
    <t>Dallage industriel béton, ép 15cm      /m2</t>
  </si>
  <si>
    <t>Fenêtre alu     /m2</t>
  </si>
  <si>
    <t>Fenêtre PVC     /m2</t>
  </si>
  <si>
    <t>U=1.6 W/m2K;masse  94,5kg /m2; transports compris, structure sans vitrage</t>
  </si>
  <si>
    <t>Marquage au sol      /m2</t>
  </si>
  <si>
    <t>Panneau de plafond suspendu      /m2</t>
  </si>
  <si>
    <t>Panneaux de signalisation (alu)     /T</t>
  </si>
  <si>
    <t>Parement de mur Hydropanel Eternit      /m2</t>
  </si>
  <si>
    <t>Fin de vie : 4,294785 kg eq CO2 / U</t>
  </si>
  <si>
    <t>Porte extérieure bois alu     /m2</t>
  </si>
  <si>
    <t>Porte extérieure bois verre     /m2</t>
  </si>
  <si>
    <t>Masse  36,5kg /m2; transports non compris</t>
  </si>
  <si>
    <t>Porte intérieure bois      /m2</t>
  </si>
  <si>
    <t>Masse  27,6kg /m2; transports non compris</t>
  </si>
  <si>
    <t>Porte intérieure bois verre     /m2</t>
  </si>
  <si>
    <t>Revêtement d'étanchéité, complexe 5+15      /m2</t>
  </si>
  <si>
    <t>Fin de vie : 2,03539314 kg eq CO2 / U</t>
  </si>
  <si>
    <t>Fin de vie : 2,55419406 kg eq CO2 / U</t>
  </si>
  <si>
    <t>Revêtement d'étanchéité, monocouche      /m2</t>
  </si>
  <si>
    <t>Fin de vie : 1,83023676 kg eq CO2 / U</t>
  </si>
  <si>
    <t>Vitrage double     /m2</t>
  </si>
  <si>
    <t>U&lt;1.1 W/m2K ; masse  20kg /m2</t>
  </si>
  <si>
    <t>Vitrage double sécurité     /m2</t>
  </si>
  <si>
    <t>U&lt;1.1 W/m2K;masse  26kg /m2</t>
  </si>
  <si>
    <t>Vitrage triple     /m2</t>
  </si>
  <si>
    <t>U&lt;0,5 W/m2K;masse  30kg /m2</t>
  </si>
  <si>
    <t>-- Produits chimiques --</t>
  </si>
  <si>
    <t>Acide chlorhydrique     /T</t>
  </si>
  <si>
    <t>Produits chimiques</t>
  </si>
  <si>
    <t>Acide phosphorique     /T</t>
  </si>
  <si>
    <t>Acide sulfurique     /T</t>
  </si>
  <si>
    <t>Alcool     /T</t>
  </si>
  <si>
    <t>Autres engrais azoté, par tonne d'azote     /T</t>
  </si>
  <si>
    <t>Autres PPP, par tonne de matière active     /T</t>
  </si>
  <si>
    <t>Colle à métaux     /kg</t>
  </si>
  <si>
    <t>Base epoxide</t>
  </si>
  <si>
    <t>Colophane     /kg</t>
  </si>
  <si>
    <t>Utilisée en papeterie et peinture</t>
  </si>
  <si>
    <t>Dispersion acrylique à l'eau     /kg</t>
  </si>
  <si>
    <t>Fongicides, par tonne de matière active     /T</t>
  </si>
  <si>
    <t>Herbicides, par tonne de matière active     /T</t>
  </si>
  <si>
    <t>Hexane     /T</t>
  </si>
  <si>
    <t>Insecticides, par tonne de matière active     /T</t>
  </si>
  <si>
    <t>Liant acrylique     /kg</t>
  </si>
  <si>
    <t>Mélange acrylique à l'eau     /kg</t>
  </si>
  <si>
    <t>Méthanol     /T</t>
  </si>
  <si>
    <t>Mousse élastomère pour tubes     /kg</t>
  </si>
  <si>
    <t>Usage spécifique pour l'isolation technique de tubes; 75kg/m3</t>
  </si>
  <si>
    <t>Nitrate d'amoniaque, par tonne d'azote     /T</t>
  </si>
  <si>
    <t>Nylon     /T</t>
  </si>
  <si>
    <t>Peinture alkyde blanche à l'eau     /kg</t>
  </si>
  <si>
    <t>Peinture alkyde blanche solvantée     /kg</t>
  </si>
  <si>
    <t>Peinture blanche     /T</t>
  </si>
  <si>
    <t>Plaques PSE      /kg</t>
  </si>
  <si>
    <t>30kg/m3; 0,035 à 0,04W/mK; mix de technologies de moussage (50% au CO2 50% HFC)</t>
  </si>
  <si>
    <t>Plaques UF     /kg</t>
  </si>
  <si>
    <t>30kg/m3; 0,035 W/mK</t>
  </si>
  <si>
    <t>Scories Thomas, par tonne de P2O5     /T</t>
  </si>
  <si>
    <t>Soude 50%     /T</t>
  </si>
  <si>
    <t>Traitement du bois creosote     /kg</t>
  </si>
  <si>
    <t>Traitement du bois sels avec chrome     /kg</t>
  </si>
  <si>
    <t>6 à 11 kg /m3 de bois traité pour l'extérieur</t>
  </si>
  <si>
    <t>Traitement du bois sels organiques sans chrome     /kg</t>
  </si>
  <si>
    <t>3 à 4,5 kg /m3 de bois traité pour l'extérieur</t>
  </si>
  <si>
    <t>TSP par tonne de P2O5     /T</t>
  </si>
  <si>
    <t>Urée, par tonne d'azote     /T</t>
  </si>
  <si>
    <t>Vernis acrylique à l'eau     /kg</t>
  </si>
  <si>
    <t>-- Verre --</t>
  </si>
  <si>
    <t>Fibre de verre - moyenne     /T</t>
  </si>
  <si>
    <t>Laine de verre     /kg</t>
  </si>
  <si>
    <t>40kg/m3; 65% de verre recyclé</t>
  </si>
  <si>
    <t>Verre expansé     /kg</t>
  </si>
  <si>
    <t>110kg/m3; 0,04 W/mK;68% de verre recyclé</t>
  </si>
  <si>
    <t>Verre technique - moyenne     /T</t>
  </si>
  <si>
    <t>-- Bois --</t>
  </si>
  <si>
    <t>Aggloméré pour extérieur     /m3</t>
  </si>
  <si>
    <t>Densité   700 kg/m3</t>
  </si>
  <si>
    <t>Bois</t>
  </si>
  <si>
    <t>Aggloméré pour intérieur     /m3</t>
  </si>
  <si>
    <t>Densité   650 kg/m3</t>
  </si>
  <si>
    <t>Bois courte durée de vie     /T</t>
  </si>
  <si>
    <t>Bois d'œuvre     /T</t>
  </si>
  <si>
    <t>Contreplaqué extérieur     /m3</t>
  </si>
  <si>
    <t>Densité   500 kg/m3</t>
  </si>
  <si>
    <t>Contreplaqué intérieur     /m3</t>
  </si>
  <si>
    <t>Densité   450 kg/m3</t>
  </si>
  <si>
    <t>Fibre de cellulose     /kg</t>
  </si>
  <si>
    <t>50kg/m3; 0,04W/mK</t>
  </si>
  <si>
    <t>Lamellé-collé extérieur     /m3</t>
  </si>
  <si>
    <t>Lamellé-collé intérieur     /m3</t>
  </si>
  <si>
    <t>Liège brut     /kg</t>
  </si>
  <si>
    <t>Pallette européenne     /unit</t>
  </si>
  <si>
    <t>unit</t>
  </si>
  <si>
    <t>Environ 27 kg</t>
  </si>
  <si>
    <t>Panneau fibre dur     /m3</t>
  </si>
  <si>
    <t>Densité 900 kg/m3</t>
  </si>
  <si>
    <t>Panneau fibre médium MDF     /m3</t>
  </si>
  <si>
    <t>Densité 740 kg/m3</t>
  </si>
  <si>
    <t>Panneau fibre mou     /m3</t>
  </si>
  <si>
    <t>Densité 350 kg/m3</t>
  </si>
  <si>
    <t>Planche azobe     /m3</t>
  </si>
  <si>
    <t>Origine Centre Afrique densité   1000 kg/m3</t>
  </si>
  <si>
    <t>Planche essence commune dure     /m3</t>
  </si>
  <si>
    <t>Planche rabotée densité   650 kg/m3</t>
  </si>
  <si>
    <t>Planche essence commune tendre      /m3</t>
  </si>
  <si>
    <t>Planche rabotée densité   370 kg/m3</t>
  </si>
  <si>
    <t>Planche essence tendre  de Scandinavie     /m3</t>
  </si>
  <si>
    <t>Planche sciée densité  370 kg/m3</t>
  </si>
  <si>
    <t>Planche pin du Parana     /m3</t>
  </si>
  <si>
    <t>Origine Bresil densité   500 kg/m3</t>
  </si>
  <si>
    <t>Plaques de liège     /kg</t>
  </si>
  <si>
    <t>Production au Portugal</t>
  </si>
  <si>
    <t>-- Papier et cartons --</t>
  </si>
  <si>
    <t>Papier et cartons</t>
  </si>
  <si>
    <t>Papier     /T</t>
  </si>
  <si>
    <t>Elements complets</t>
  </si>
  <si>
    <t>Câble ZPFU 14p     /ml</t>
  </si>
  <si>
    <t>Projet Cambo-St-Jean</t>
  </si>
  <si>
    <t>Câble ZPFU 4p     /ml</t>
  </si>
  <si>
    <t>Câble 72 FO     /ml</t>
  </si>
  <si>
    <t>Ancrage passif 25 mm     /ml</t>
  </si>
  <si>
    <t>Ancrages passif 25mm+ancrage de rive de pied des GPA+Ancrage de rive de Tete des GPA+Ancrage de plaquage des rives latérales des GPA. Grues et compresseurs considérés.</t>
  </si>
  <si>
    <t>Ancrage passif 32 mm     /ml</t>
  </si>
  <si>
    <t>Grillage plaqué ancré     /m2</t>
  </si>
  <si>
    <t>Hors ancrages. 0,01108 T/m2 d'acier. Compresseur : 300 m2/jour et 6h/jour</t>
  </si>
  <si>
    <t>Grillage pendu lesté     /m2</t>
  </si>
  <si>
    <t>Eclisse     /U</t>
  </si>
  <si>
    <t>9,52 kg d'acier par éclisse</t>
  </si>
  <si>
    <t>Pont route standard      /U</t>
  </si>
  <si>
    <t>Pont rail standard      /U</t>
  </si>
  <si>
    <t>Viaduc bi-poutre métallique, pile béton, tablier béton      /km</t>
  </si>
  <si>
    <t>Viaduc pile acier à remplissage béton, tablier béton      /km</t>
  </si>
  <si>
    <t>Saut de moutons sur LGV      /U</t>
  </si>
  <si>
    <t>LGV EE</t>
  </si>
  <si>
    <t>Traverse monobloc Rheda MRT     /U</t>
  </si>
  <si>
    <t>SGP</t>
  </si>
  <si>
    <t>Fixation Vossloh     /U</t>
  </si>
  <si>
    <t>Support moyen électrification en acier galvanisé     /U</t>
  </si>
  <si>
    <t>Console caténaire - Type 85     /U</t>
  </si>
  <si>
    <t>Elément linéaire caténaire - Type 85     /ml</t>
  </si>
  <si>
    <t>Voie simple</t>
  </si>
  <si>
    <t>Base en caténaire - Type 85 - 25000 V     /ml</t>
  </si>
  <si>
    <t>Voie simple - Portée entre 2 supports : 54 ml</t>
  </si>
  <si>
    <t>Base en caténaire - Type 85 - Type TGV     /ml</t>
  </si>
  <si>
    <t>Voie simple - Support non comptés</t>
  </si>
  <si>
    <t>Base en caténaire allégée - Type 98     /ml</t>
  </si>
  <si>
    <t>Câble</t>
  </si>
  <si>
    <t>m2 SHON</t>
  </si>
  <si>
    <t>Carbone 4</t>
  </si>
  <si>
    <t>Autres</t>
  </si>
  <si>
    <t>Carreaux de plâtre     /m2 de paroi</t>
  </si>
  <si>
    <t>Carrelages pierre     /kg</t>
  </si>
  <si>
    <t>Céramique pour équipement sanitaire     /kg</t>
  </si>
  <si>
    <t>Fibres Aramide     /kg</t>
  </si>
  <si>
    <t>Fibres de renfort pour plastiques</t>
  </si>
  <si>
    <t>Laine de roche     /kg</t>
  </si>
  <si>
    <t>Matériaux non traités - couche de forme      /T</t>
  </si>
  <si>
    <t>MIOM      /T</t>
  </si>
  <si>
    <t>Monomur terre cuite     /m2</t>
  </si>
  <si>
    <t>Perlite expansée     /kg</t>
  </si>
  <si>
    <t xml:space="preserve">60 à 300kg/m3; </t>
  </si>
  <si>
    <t>Toile de jute     /T</t>
  </si>
  <si>
    <t>--Energie de Chantier --</t>
  </si>
  <si>
    <t>Heure</t>
  </si>
  <si>
    <t>UNPG</t>
  </si>
  <si>
    <t>Amortissement compris, calculé sur la base de 150 jours ouvrés par an, et 7 heures d'utilisation quotidienne</t>
  </si>
  <si>
    <t>Chantier</t>
  </si>
  <si>
    <t>Atelier (raco-panien)     /Demi-journée</t>
  </si>
  <si>
    <t>Demi-journée</t>
  </si>
  <si>
    <t>Balayeuse     /Demi-journée</t>
  </si>
  <si>
    <t>Brise-Roche hydraulique     /Demi-journée</t>
  </si>
  <si>
    <t>LGV RR + Coefficient ADEME</t>
  </si>
  <si>
    <t>Puissance : 90 kW. FE obtenu avec le ratio 0,300667 kgCO2/kWh du gazole (ADEME V6.1), Rendement non pris en compte</t>
  </si>
  <si>
    <t>Bull     /Demi-journée</t>
  </si>
  <si>
    <t>Bull D10     /Demi-journée</t>
  </si>
  <si>
    <t>Puissance : 425 kW. FE obtenu avec le ratio 0,300667 kgCO2/kWh du gazole (ADEME V6.1), Rendement non pris en compte</t>
  </si>
  <si>
    <t>Bull D5     /Demi-journée</t>
  </si>
  <si>
    <t>Bull D8     /Demi-journée</t>
  </si>
  <si>
    <t>Puissance : 228 kW. FE obtenu avec le ratio 0,300667 kgCO2/kWh du gazole (ADEME V6.1), Rendement non pris en compte</t>
  </si>
  <si>
    <t>Camion     /Demi-journée</t>
  </si>
  <si>
    <t>Puissance : 270 kW. FE obtenu avec le ratio 0,300667 kgCO2/kWh du gazole (ADEME V6.1), Rendement non pris en compte</t>
  </si>
  <si>
    <t>Camion avec grue auxiliaire     /Demi-journée</t>
  </si>
  <si>
    <t>Puissance : 300 kW. FE obtenu avec le ratio 0,300667 kgCO2/kWh du gazole (ADEME V6.1), Rendement non pris en compte</t>
  </si>
  <si>
    <t>Camion malaxeur (à béton)     /Demi-journée</t>
  </si>
  <si>
    <t>Puissance : 250 kW. FE obtenu avec le ratio 0,300667 kgCO2/kWh du gazole (ADEME V6.1), Rendement non pris en compte</t>
  </si>
  <si>
    <t>Centrale d'enrobage     /Demi-journée</t>
  </si>
  <si>
    <t>Puissance : 12000 kW. FE obtenu avec le ratio 0,300667 kgCO2/kWh du gazole (ADEME V6.1), Rendement non pris en compte</t>
  </si>
  <si>
    <t>Chargeuse 1000 l et +     /Demi-journée</t>
  </si>
  <si>
    <t>Chargeuse 500 l à 1000 l     /Demi-journée</t>
  </si>
  <si>
    <t>Chargeuse sur chenille (15 à 20t)     /Heure</t>
  </si>
  <si>
    <t>Chargeuse sur pneus (15 à 20t)     /Heure</t>
  </si>
  <si>
    <t>Chargeuse sur pneus (20 à 25t)     /Heure</t>
  </si>
  <si>
    <t>Chargeuse sur pneus (25 à 30t)     /Heure</t>
  </si>
  <si>
    <t>Charrue D9     /Demi-journée</t>
  </si>
  <si>
    <t>Puissance : 302 kW. FE obtenu avec le ratio 0,300667 kgCO2/kWh du gazole (ADEME V6.1), Rendement non pris en compte</t>
  </si>
  <si>
    <t>Compacteur 2 billes     /Demi-journée</t>
  </si>
  <si>
    <t>Compacteur à pneu P3     /Demi-journée</t>
  </si>
  <si>
    <t>Compacteur à pneu P5     /Demi-journée</t>
  </si>
  <si>
    <t>Compacteur monobille V2     /Heure</t>
  </si>
  <si>
    <t>Compacteur Vibrant     /Demi-journée</t>
  </si>
  <si>
    <t>Compresseur     /Demi-journée</t>
  </si>
  <si>
    <t>Concasseur     /Demi-journée</t>
  </si>
  <si>
    <t>Concasseur primaire mobile     /Demi-journée</t>
  </si>
  <si>
    <t>Puissance : 255 kW. FE obtenu avec le ratio 0,300667 kgCO2/kWh du gazole (ADEME V6.1), Rendement non pris en compte</t>
  </si>
  <si>
    <t>Concasseur secondaire     /Demi-journée</t>
  </si>
  <si>
    <t>Puissance : 225 kW. FE obtenu avec le ratio 0,300667 kgCO2/kWh du gazole (ADEME V6.1), Rendement non pris en compte</t>
  </si>
  <si>
    <t>Dumper     /Demi-journée</t>
  </si>
  <si>
    <t>Enfouisseuse     /Demi-journée</t>
  </si>
  <si>
    <t>Puissance : 160 kW. FE obtenu avec le ratio 0,300667 kgCO2/kWh du gazole (ADEME V6.1), Rendement non pris en compte</t>
  </si>
  <si>
    <t>Puissance : 150 kW. FE obtenu avec le ratio 0,300667 kgCO2/kWh du gazole (ADEME V6.1), Rendement non pris en compte</t>
  </si>
  <si>
    <t>Foreuse     /Heure</t>
  </si>
  <si>
    <t>Fraiseuse     /Demi-journée</t>
  </si>
  <si>
    <t>Puissance : 78 kW. FE obtenu avec le ratio 0,300667 kgCO2/kWh du gazole (ADEME V6.1), Rendement non pris en compte</t>
  </si>
  <si>
    <t>Gradeur     /Demi-journée</t>
  </si>
  <si>
    <t>Gravilloneur     /Demi-journée</t>
  </si>
  <si>
    <t>Groupe électrogène     /Demi-journée</t>
  </si>
  <si>
    <t>Grue     /Demi-journée</t>
  </si>
  <si>
    <t>Machine à extruder     /Demi-journée</t>
  </si>
  <si>
    <t>Machine à faucher     /Demi-journée</t>
  </si>
  <si>
    <t>Machines     /T</t>
  </si>
  <si>
    <t>Mini-finisher     /Demi-journée</t>
  </si>
  <si>
    <t>Minipelle 8 à 15t     /Heure</t>
  </si>
  <si>
    <t>Panien 18t     /Demi-journée</t>
  </si>
  <si>
    <t>Pelle à câble (40 à 50t)     /Heure</t>
  </si>
  <si>
    <t>Pelle à câble (50 à 60t)     /Heure</t>
  </si>
  <si>
    <t>Pelle à câble (60 à 70t)     /Heure</t>
  </si>
  <si>
    <t>Pelle à câble (70 à 90t)     /Heure</t>
  </si>
  <si>
    <t>Pelle sur pneus 15 à 20t     /Heure</t>
  </si>
  <si>
    <t>Pulvérisateur RM350     /Demi-journée</t>
  </si>
  <si>
    <t>Puissance : 373 kW. FE obtenu avec le ratio 0,300667 kgCO2/kWh du gazole (ADEME V6.1), Rendement non pris en compte</t>
  </si>
  <si>
    <t>Raboteuse 2 m à 2,2 m     /Heure</t>
  </si>
  <si>
    <t>Rippeur     /Demi-journée</t>
  </si>
  <si>
    <t>Puissance : 362 kW. FE obtenu avec le ratio 0,300667 kgCO2/kWh du gazole (ADEME V6.1), Rendement non pris en compte</t>
  </si>
  <si>
    <t>Scrap 631     /Demi-journée</t>
  </si>
  <si>
    <t>Puissance : 366 kW. FE obtenu avec le ratio 0,300667 kgCO2/kWh du gazole (ADEME V6.1), Rendement non pris en compte</t>
  </si>
  <si>
    <t>Tracteur (Fioul)     /Heure</t>
  </si>
  <si>
    <t>Tracteur (Gazole)     /Heure</t>
  </si>
  <si>
    <t>Tracto benne     /Demi-journée</t>
  </si>
  <si>
    <t>Tractopelle     /Heure</t>
  </si>
  <si>
    <t>-- Bureau --</t>
  </si>
  <si>
    <t>Alimentation électronique (style PC fixe)     /unit</t>
  </si>
  <si>
    <t>Masse unitaire 2,1 kg</t>
  </si>
  <si>
    <t>Bureau</t>
  </si>
  <si>
    <t>Alimentation électronique (style PC portable)     /unit</t>
  </si>
  <si>
    <t>Masse unitaire 0,357g</t>
  </si>
  <si>
    <t>Cable ruban 20 conducteurs     /kg</t>
  </si>
  <si>
    <t>Cable trois conducteurs     /m</t>
  </si>
  <si>
    <t>65 g/m</t>
  </si>
  <si>
    <t>Circuit imprimé     /kg</t>
  </si>
  <si>
    <t>6 couches FR4 avec composants; 50% en surface et 50% traversants, mix de soudures avec et sans plomb</t>
  </si>
  <si>
    <t>Circuit imprimé CMS (masse)     /kg</t>
  </si>
  <si>
    <t>6 couches FR4 avec composants montés en surface sans soudure au plomb</t>
  </si>
  <si>
    <t>Circuit imprimé CMS (surface)     /m2</t>
  </si>
  <si>
    <t>6 couches FR4 sans composants; 50% avec et 50% sans soudure au plomb</t>
  </si>
  <si>
    <t>Circuit imprimé composants traversants (masse)     /kg</t>
  </si>
  <si>
    <t>6 couches FR4 avec composants sans soudure au plomb</t>
  </si>
  <si>
    <t>Circuit imprimé composants traversants (surface)     /m2</t>
  </si>
  <si>
    <t>6 couches FR4 sans composants sans soudure au plomb; 3,26kg/m2</t>
  </si>
  <si>
    <t>Circuit intégré type logique     /kg</t>
  </si>
  <si>
    <t>Circuit intégré type mémoire     /kg</t>
  </si>
  <si>
    <t>Composant électronique actif (moyenne)     /kg</t>
  </si>
  <si>
    <t>Composant électronique passif (moyenne)     /kg</t>
  </si>
  <si>
    <t>Composants (en moyenne)     /kg</t>
  </si>
  <si>
    <t>Composants de panneau d'ordinateur     /kg</t>
  </si>
  <si>
    <t>Disque dur PC (575g)     /unit</t>
  </si>
  <si>
    <t>Masse unitaire 575 g</t>
  </si>
  <si>
    <t>Ecran cathodique     /kg</t>
  </si>
  <si>
    <t>Ecran LCD (typiquement 15")     /kg</t>
  </si>
  <si>
    <t>Module d'affichage (ne comprend pas tous les éléments d'un écran d'ordinateur)</t>
  </si>
  <si>
    <t>Lecteur CD DVD d'ordinateur     /unit</t>
  </si>
  <si>
    <t>Masse unitaire 938 g</t>
  </si>
  <si>
    <t>LED     /kg</t>
  </si>
  <si>
    <t>Photocopieurs     /appareil</t>
  </si>
  <si>
    <t>Appareil</t>
  </si>
  <si>
    <t>PC avec ecran plat     /appareil</t>
  </si>
  <si>
    <t>Montant des achats - informatique et bureautique     /keuro</t>
  </si>
  <si>
    <t>keuro</t>
  </si>
  <si>
    <t>Ordinateurs avec tubes cath.     /appareil</t>
  </si>
  <si>
    <t>Mobilier     /T</t>
  </si>
  <si>
    <t>Module electronique de commande     /kg</t>
  </si>
  <si>
    <t>En moyenne 46% acier, 32% plastiques, 14% circuits, 8% cables</t>
  </si>
  <si>
    <t>Ventilateur     /kg</t>
  </si>
  <si>
    <t>Service matériel</t>
  </si>
  <si>
    <t>ADEME V7</t>
  </si>
  <si>
    <t>Services</t>
  </si>
  <si>
    <t>Service immatériel</t>
  </si>
  <si>
    <t>Setec International</t>
  </si>
  <si>
    <t>Calculé sur la base d'un ratio entre le CA de Setec Inter en 2010 et ses émissions carbone</t>
  </si>
  <si>
    <t>Maintenance infrastructure ferrovière</t>
  </si>
  <si>
    <t>km.an</t>
  </si>
  <si>
    <t>-- Amortissement de matériel roulant --</t>
  </si>
  <si>
    <t>vkm</t>
  </si>
  <si>
    <t>Fabrication 2 roues</t>
  </si>
  <si>
    <t>Fabrication TGV</t>
  </si>
  <si>
    <t>pkm</t>
  </si>
  <si>
    <t>EcoInvent</t>
  </si>
  <si>
    <t>Fabrication train /tkm</t>
  </si>
  <si>
    <t>tkm</t>
  </si>
  <si>
    <t>Fabrication Avion /pkm</t>
  </si>
  <si>
    <t>Fabrication Avion /tkm</t>
  </si>
  <si>
    <t>Fabrication Bus</t>
  </si>
  <si>
    <t>Fabrication Tram</t>
  </si>
  <si>
    <t>Routier</t>
  </si>
  <si>
    <t>Camion moyen ( 16 à 32T) Euro4      /T.km</t>
  </si>
  <si>
    <t>Ecoinvent 2.0_transport, lorry 16-32t, EURO4 RER</t>
  </si>
  <si>
    <t>Camion moyen (&gt;16 T)(moyenne européenne)     /T.km</t>
  </si>
  <si>
    <t>Ecoinvent 2.0_transport, lorry &gt;16t, fleet average RER</t>
  </si>
  <si>
    <t>Camion plateau - 3,5 tonne - aller à pleine charge, retour à vide     /T.km</t>
  </si>
  <si>
    <t>Camionnette     /T.km</t>
  </si>
  <si>
    <t>Ecoinvent 2.0_transport, van &lt;3.5t RER</t>
  </si>
  <si>
    <t>Ensemble articulé  26 tonnes PTRA Grand volume
Gazole routier     /veh.km</t>
  </si>
  <si>
    <t>Arrêté du 10 avril 2012</t>
  </si>
  <si>
    <t>Charge utile : 6 T</t>
  </si>
  <si>
    <t>Charge utile : 12,5 T</t>
  </si>
  <si>
    <t>Ensemble articulé  40 tonnes PTRA Citerne
Gazole routier     /veh.km</t>
  </si>
  <si>
    <t>Ensemble articulé  40 tonnes PTRA Grand volume
Gazole routier     /veh.km</t>
  </si>
  <si>
    <t>Ensemble articulé  40 tonnes PTRA Marchandises diverses/régional Gazole routier     /veh.km</t>
  </si>
  <si>
    <t>Ensemble articulé  40 tonnes PTRA Porte-conteneur
Gazole routier     /veh.km</t>
  </si>
  <si>
    <t>Fret amont béton - Carrière - Centrale     /T.km</t>
  </si>
  <si>
    <t>Fret aval béton - Centrale - Chantier     /T.km</t>
  </si>
  <si>
    <t>Gros camion (&gt;32 T) Euro4      /T.km</t>
  </si>
  <si>
    <t>Petit camion 3,5 à 16 T (moyenne européenne)     /T.km</t>
  </si>
  <si>
    <t>PL 15 T     /T.km</t>
  </si>
  <si>
    <t>PL 25 T     /T.km</t>
  </si>
  <si>
    <t>Porte Char     /T.km</t>
  </si>
  <si>
    <t>Porteur  12 tonnes  PTAC Marchandises diverses Gazole routier     /veh.km</t>
  </si>
  <si>
    <t>Charge utile : 1,8 T</t>
  </si>
  <si>
    <t>Porteur  19 tonnes  PTAC Express
Gazole routier     /veh.km</t>
  </si>
  <si>
    <t>Charge utile : 2,5 T</t>
  </si>
  <si>
    <t>Porteur  7,5 tonnes  PTAC Marchandises diverses Gazole routier     /veh.km</t>
  </si>
  <si>
    <t>Charge utile : 0,9 T</t>
  </si>
  <si>
    <t>PTAC 20 tonnes     /T.km</t>
  </si>
  <si>
    <t>Semi remorque - aller à 80% - retour à vide :     /T.km</t>
  </si>
  <si>
    <t>Semi remorque - aller à plein - retour à vide     /T.km</t>
  </si>
  <si>
    <t>Toupie     /T.km</t>
  </si>
  <si>
    <t>Tracteurs routiers (plein)     /veh.km</t>
  </si>
  <si>
    <t>Charge utile : 25 T</t>
  </si>
  <si>
    <t>Tracteurs routiers (vide)     /veh.km</t>
  </si>
  <si>
    <t>Ferroviaire</t>
  </si>
  <si>
    <t>Charge utile : 400 T</t>
  </si>
  <si>
    <t>Fret ferroviaire - Electricité - 520 T     /veh.km</t>
  </si>
  <si>
    <t>Charge utile : 520 T</t>
  </si>
  <si>
    <t>Fret ferroviaire - Electricité - 600 T     /veh.km</t>
  </si>
  <si>
    <t>Charge utile : 600 T</t>
  </si>
  <si>
    <t>Fret ferroviaire- Gazole non routier - 400 T     /veh.km</t>
  </si>
  <si>
    <t>Fret ferroviaire- Gazole non routier - 520 T     /veh.km</t>
  </si>
  <si>
    <t>Fret ferroviaire- Gazole non routier - 600 T     /veh.km</t>
  </si>
  <si>
    <t>Fret ferroviaire Mixte : électricité/gasoil non routier - 400 T     /veh.km</t>
  </si>
  <si>
    <t>Fret ferroviaire Mixte : électricité/gasoil non routier - 520 T     /veh.km</t>
  </si>
  <si>
    <t>Fret ferroviaire Mixte : électricité/gasoil non routier - 600 T     /veh.km</t>
  </si>
  <si>
    <t>Train de fret européen     /T.km</t>
  </si>
  <si>
    <t>Ecoinvent 2.0_transport, freight, rail RER</t>
  </si>
  <si>
    <t>Train en Europe - moyenne     /T.km</t>
  </si>
  <si>
    <t>Train en France - moyenne     /T.km</t>
  </si>
  <si>
    <t>Train entier France     /T.km</t>
  </si>
  <si>
    <t>Transport combiné France     /T.km</t>
  </si>
  <si>
    <t>Transport ferroviaire      /T.km</t>
  </si>
  <si>
    <t>Wagon isolé France     /T.km</t>
  </si>
  <si>
    <t>-- Fret Maritime --</t>
  </si>
  <si>
    <t>Ferry de jour     /veh.km</t>
  </si>
  <si>
    <t>Charge utile : 2350 T</t>
  </si>
  <si>
    <t>Maritime</t>
  </si>
  <si>
    <t>Ferry de nuit     /veh.km</t>
  </si>
  <si>
    <t>Charge utile : 1290 T</t>
  </si>
  <si>
    <t>Gazier petit  GPL     /veh.km</t>
  </si>
  <si>
    <t>Charge utile : 1830 T</t>
  </si>
  <si>
    <t>Gazier VLGC     /veh.km</t>
  </si>
  <si>
    <t>Charge utile : 22300 T</t>
  </si>
  <si>
    <t>Petit vraquier/navire  fluvio-maritime     /veh.km</t>
  </si>
  <si>
    <t>Charge utile : 2630 T</t>
  </si>
  <si>
    <t>Pétrolier  VLCC 
De plus  de 200 000 tonnes  de port  en lourd     /veh.km</t>
  </si>
  <si>
    <t>Charge utile : 144000 T</t>
  </si>
  <si>
    <t>Pétrolier Aframax
De 68 500 à 200 000 tonnes  de port  en lourd     /veh.km</t>
  </si>
  <si>
    <t>Charge utile : 48700 T</t>
  </si>
  <si>
    <t>Pétrolier Handy product 
De 26 500 à 68 499 tonnes  de port  en lourd     /veh.km</t>
  </si>
  <si>
    <t>Charge utile : 15500 T</t>
  </si>
  <si>
    <t>Pétrolier Petit product tanker 
De moins  de 26 500 tonnes  de port  en lourd     /veh.km</t>
  </si>
  <si>
    <t>Charge utile : 7990 T</t>
  </si>
  <si>
    <t>ADEME</t>
  </si>
  <si>
    <t>Porte-conteneurs 
De 1 200 à 1 899 EVP     /veh.km</t>
  </si>
  <si>
    <t>Charge utile : 11000 T</t>
  </si>
  <si>
    <t>Porte-conteneurs 
De 1 900 à 3 849 EVP     /veh.km</t>
  </si>
  <si>
    <t>Charge utile : 18500 T</t>
  </si>
  <si>
    <t>Porte-conteneurs 
De 3 850 à 7 499 EVP     /veh.km</t>
  </si>
  <si>
    <t>Charge utile : 46400 T</t>
  </si>
  <si>
    <t>Porte-conteneurs 
De moins  de 1 200 EVP     /veh.km</t>
  </si>
  <si>
    <t>Charge utile : 3650 T</t>
  </si>
  <si>
    <t>Porte-conteneurs 
De plus  de 7 500 EVP     /veh.km</t>
  </si>
  <si>
    <t>Charge utile : 74900 T</t>
  </si>
  <si>
    <t>Ro-Pax     /veh.km</t>
  </si>
  <si>
    <t>Charge utile : 1730 T</t>
  </si>
  <si>
    <t>Ro-Ro     /veh.km</t>
  </si>
  <si>
    <t>Charge utile : 1970 T</t>
  </si>
  <si>
    <t>Tanker transocéanique     /T.km</t>
  </si>
  <si>
    <t>Ecoinvent 2.0_transport, transoceanic tanker</t>
  </si>
  <si>
    <t>Transport transocéanique     /T.km</t>
  </si>
  <si>
    <t>Ecoinvent 2.0_transport, transoceanic freight ship</t>
  </si>
  <si>
    <t>Vraquier  Capesize 
De plus  de 127 500 tonnes  de port  en lourd     /veh.km</t>
  </si>
  <si>
    <t>Charge utile : 79600 T</t>
  </si>
  <si>
    <t>Vraquier Handymax 
De 40 250 à 63 499 tonnes  de port  en lourd     /veh.km</t>
  </si>
  <si>
    <t>Charge utile : 24700 T</t>
  </si>
  <si>
    <t>Vraquier Handysize 
De moins  de 40 250 tonnes  de port  en lourd     /veh.km</t>
  </si>
  <si>
    <t>Charge utile : 12800 T</t>
  </si>
  <si>
    <t>Vraquier Panamax 
De 63 500 à 127 500 tonnes  de port  en lourd     /veh.km</t>
  </si>
  <si>
    <t>Charge utile : 33000 T</t>
  </si>
  <si>
    <t>-- Fret Aérien --</t>
  </si>
  <si>
    <t>Prise en compte de gaz hors Kyoto (coefficient 1)</t>
  </si>
  <si>
    <t>Aérien</t>
  </si>
  <si>
    <t>Fret aérien europe     /T.km</t>
  </si>
  <si>
    <t>Ecoinvent 2.0_aircraft, freight, Europe</t>
  </si>
  <si>
    <t>Fret aérien intercontinental     /T.km</t>
  </si>
  <si>
    <t>Ecoinvent 2.0_aircraft, freight, intercontinental</t>
  </si>
  <si>
    <t>Régional, Mayotte     /T.km</t>
  </si>
  <si>
    <t>Court courrier fret      /v.km</t>
  </si>
  <si>
    <t>v.km</t>
  </si>
  <si>
    <t>Aériens</t>
  </si>
  <si>
    <t>Moyen courrier fret      /v.km</t>
  </si>
  <si>
    <t>Long courrier fret      /v.km</t>
  </si>
  <si>
    <t>-- Fret Fluvial --</t>
  </si>
  <si>
    <t>Automoteur   de  capacité  comprise  entre  1 000 et
1 499 tonnes de port  en lourd
Gazole non routier     /veh.km</t>
  </si>
  <si>
    <t>Charge utile : 773 T</t>
  </si>
  <si>
    <t>Fluvial</t>
  </si>
  <si>
    <t>Automoteur   de  capacité  comprise  entre  400  et
649 tonnes de port  en lourd
Gazole non routier     /veh.km</t>
  </si>
  <si>
    <t>Charge utile : 331 T</t>
  </si>
  <si>
    <t>Automoteur   de  capacité  comprise  entre  650  et
999 tonnes de port  en lourd
Gazole non routier     /veh.km</t>
  </si>
  <si>
    <t>Charge utile : 497 T</t>
  </si>
  <si>
    <t>Automoteur   de  capacité  égale  ou  supérieure   à
1 500 tonnes de port  en lourd
Gazole non routier     /veh.km</t>
  </si>
  <si>
    <t>Charge utile : 1214 T</t>
  </si>
  <si>
    <t>Automoteur  de capacité inférieure à 400 tonnes de port en lourd
Gazole non routier     /veh.km</t>
  </si>
  <si>
    <t>Charge utile : 207 T</t>
  </si>
  <si>
    <t>Pousseur avec barge(s) de capacité comprise entre 590 et 879 kW
Gazole non routier     /veh.km</t>
  </si>
  <si>
    <t>Charge utile : 1270 T</t>
  </si>
  <si>
    <t>Pousseur avec barge(s) de capacité égale ou supérieure  à 880 kW (transport  de conteneurs)
Gazole non routier     /veh.km</t>
  </si>
  <si>
    <t>Charge utile : 1200 T</t>
  </si>
  <si>
    <t>Charge utile : 2208 T</t>
  </si>
  <si>
    <t>Pousseur avec barge(s) de capacité inférieure  à
590 kW
Gazole non routier     /veh.km</t>
  </si>
  <si>
    <t>Charge utile : 1104 T</t>
  </si>
  <si>
    <t>Tanker fluvial      /T.km</t>
  </si>
  <si>
    <t>Ecoinvent 2.0_transport, barge tanker</t>
  </si>
  <si>
    <t>Transport fluvial     /T.km</t>
  </si>
  <si>
    <t>Transport fluvial vrac     /T.km</t>
  </si>
  <si>
    <t>Ecoinvent 2.0_transport, barge</t>
  </si>
  <si>
    <t>VP</t>
  </si>
  <si>
    <t>Véhicule utilitaire 1,5t - 2,5t diesel     /veh.km</t>
  </si>
  <si>
    <t>Véhicules diesel - moyen     /veh.km</t>
  </si>
  <si>
    <t>Véhicules essence - moyen     /veh.km</t>
  </si>
  <si>
    <t>Voiture (flotte moyenne européenne)     /p.km</t>
  </si>
  <si>
    <t>p.km</t>
  </si>
  <si>
    <t>Voiture diesel (moyenne européenne)     /p.km</t>
  </si>
  <si>
    <t>Voiture essence (moyenne européenne)     /p.km</t>
  </si>
  <si>
    <t>Outil TCSP du CERTU (ADEME)</t>
  </si>
  <si>
    <t>Deux roues motorisés</t>
  </si>
  <si>
    <t>Moto  de cylindrée  égale ou supérieure  à 750 cm3
Essence automobile     /veh.km</t>
  </si>
  <si>
    <t>Moto ou scooter de cylindrée inférieure à 750 cm3
Essence automobile     /veh.km</t>
  </si>
  <si>
    <t>Autre train     /p.km</t>
  </si>
  <si>
    <t>Trains</t>
  </si>
  <si>
    <t>Train à grande vitesse 
Electricité     /veh.km</t>
  </si>
  <si>
    <t>285 passagers</t>
  </si>
  <si>
    <t>Train en France, Ile-de-France     /p.km</t>
  </si>
  <si>
    <t>Train en France, moyenne     /p.km</t>
  </si>
  <si>
    <t>Train en France, train Corail     /p.km</t>
  </si>
  <si>
    <t>Train en France, train express régional     /p.km</t>
  </si>
  <si>
    <t>Train express régional 
Electricité     /veh.km</t>
  </si>
  <si>
    <t>80 passagers</t>
  </si>
  <si>
    <t>Train express régional 
Gazole non routier     /veh.km</t>
  </si>
  <si>
    <t>68 passagers</t>
  </si>
  <si>
    <t>188 passagers</t>
  </si>
  <si>
    <t>Trains de voyageurs diesel     /veh.km</t>
  </si>
  <si>
    <t>Validité de la valeur ?</t>
  </si>
  <si>
    <t>TC</t>
  </si>
  <si>
    <t>Minibus     /p.km</t>
  </si>
  <si>
    <t>Minibus (plein)     /veh.km</t>
  </si>
  <si>
    <t>Nombre moy de passager : 4 ; Nombre max de passager : 20</t>
  </si>
  <si>
    <t>Minibus (vide)     /veh.km</t>
  </si>
  <si>
    <t>RER     /p.km</t>
  </si>
  <si>
    <t>Télécabine (8 places) Electricité     /veh.km</t>
  </si>
  <si>
    <t>4 passagers</t>
  </si>
  <si>
    <t>Tout  véhicule   électrique   (tramways,   bus,  funi- culaires)
Transport urbain  et périurbain  en agglomération de moins  de 250 000 habitants     /veh.km</t>
  </si>
  <si>
    <t>20 passagers</t>
  </si>
  <si>
    <t>Tout  véhicule  électrique  (métros,  tramways,  bus, funiculaires)
Transport urbain  et périurbain  en agglomération de plus  de 250 000 habitants     /veh.km</t>
  </si>
  <si>
    <t>47 passagers</t>
  </si>
  <si>
    <t>Tramway     /p.km</t>
  </si>
  <si>
    <t>Transilien     /p.km</t>
  </si>
  <si>
    <t>Transport urbain  et périurbain  en agglomération de  moins   de  100 000  habitants)/transport inter- urbain     /veh.km</t>
  </si>
  <si>
    <t>8 passagers</t>
  </si>
  <si>
    <t>Transport urbain  et périurbain  en agglomération de 100 000 à 250 000 habitants     /veh.km</t>
  </si>
  <si>
    <t>10 passagers</t>
  </si>
  <si>
    <t>Transport urbain  et périurbain  en agglomération de plus  de 250 000 habitants     /veh.km</t>
  </si>
  <si>
    <t>11 passagers</t>
  </si>
  <si>
    <t>Hélicoptère     /Heure</t>
  </si>
  <si>
    <t>Ecoinvent 2.0_helicopter</t>
  </si>
  <si>
    <t>Court courrier      /v.km</t>
  </si>
  <si>
    <t>Moyen courrier      /v.km</t>
  </si>
  <si>
    <t>Long courrier      /v.km</t>
  </si>
  <si>
    <t>-- Maritimes et fluviaux --</t>
  </si>
  <si>
    <t>Bateau - Iles du Finistère     /p.km</t>
  </si>
  <si>
    <t>Maritimes et fluviaux</t>
  </si>
  <si>
    <t>Bateau - Liaison Corse continent - NGV     /p.km</t>
  </si>
  <si>
    <t>Ferry de jour - Passagers     /veh.km</t>
  </si>
  <si>
    <t>304 passagers</t>
  </si>
  <si>
    <t>Ferry de jour - Voitures     /veh.km</t>
  </si>
  <si>
    <t>301 voitures</t>
  </si>
  <si>
    <t>Ferry de nuit - Passagers     /veh.km</t>
  </si>
  <si>
    <t>418 passagers</t>
  </si>
  <si>
    <t>Ferry de nuit - Voitures     /veh.km</t>
  </si>
  <si>
    <t>157 voitures</t>
  </si>
  <si>
    <t>Ro-Pax - Passagers     /veh.km</t>
  </si>
  <si>
    <t>483 passagers</t>
  </si>
  <si>
    <t>Ro-Pax - Voitures     /veh.km</t>
  </si>
  <si>
    <t>224 voitures</t>
  </si>
  <si>
    <t>Transport fluvial de passagers 
Gazole non routier     /veh.km</t>
  </si>
  <si>
    <t>296 passagers</t>
  </si>
  <si>
    <t>Energies</t>
  </si>
  <si>
    <t>Combustibles</t>
  </si>
  <si>
    <t>Agglomérés (provenant de houille ou sous bitumeux)      /kWh PCI</t>
  </si>
  <si>
    <t>kWh PCI</t>
  </si>
  <si>
    <t>Autres produits pétroliers (graisses, aromatiques, etc)     /T</t>
  </si>
  <si>
    <t>Autres produits pétroliers (graisses, aromatiques, etc)     /kWh PCI</t>
  </si>
  <si>
    <t>Bitumes      /T</t>
  </si>
  <si>
    <t>Bitumes      /kWh PCI</t>
  </si>
  <si>
    <t>Briquette de lignite      /T</t>
  </si>
  <si>
    <t>Briquette de lignite      /kWh PCI</t>
  </si>
  <si>
    <t>Butane maritime     /kg</t>
  </si>
  <si>
    <t>Carburéacteur      /T</t>
  </si>
  <si>
    <t>Carburéacteur      /kWh PCI</t>
  </si>
  <si>
    <t>Carburéacteur      /L</t>
  </si>
  <si>
    <t>Charbon à coke (PCS&gt;23 865 kJ/kg)      /T</t>
  </si>
  <si>
    <t>Charbon à coke (PCS&gt;23 865 kJ/kg)      /kWh PCI</t>
  </si>
  <si>
    <t>Charbon sous-bitumineux (17 435 kJ/kg&lt;PCS&lt;23 865 kJ/kg)      /T</t>
  </si>
  <si>
    <t>Charbon sous-bitumineux (17 435 kJ/kg&lt;PCS&lt;23 865 kJ/kg)      /kWh PCI</t>
  </si>
  <si>
    <t>Coke de houille      /T</t>
  </si>
  <si>
    <t>Coke de houille      /kWh PCI</t>
  </si>
  <si>
    <t>Coke de lignite      /T</t>
  </si>
  <si>
    <t>Coke de lignite      /kWh PCI</t>
  </si>
  <si>
    <t>Coke de pétrole      /T</t>
  </si>
  <si>
    <t>Coke de pétrole      /kWh PCI</t>
  </si>
  <si>
    <t>Diesel     /L</t>
  </si>
  <si>
    <t>Essence à la pompe
(SP 95-SP 98)     /L</t>
  </si>
  <si>
    <t>Essence aviation      /T</t>
  </si>
  <si>
    <t>Essence aviation      /kWh PCI</t>
  </si>
  <si>
    <t>Essence aviation (AvGas)     /L</t>
  </si>
  <si>
    <t>Essence moteurs terrestres      /T</t>
  </si>
  <si>
    <t>Essence moteurs terrestres      /kWh PCI</t>
  </si>
  <si>
    <t>Essence moteurs terrestres      /L</t>
  </si>
  <si>
    <t>Essence, E 10     /L</t>
  </si>
  <si>
    <t>Essence, E 85     /L</t>
  </si>
  <si>
    <t>Fioul domestique, Europe     /L</t>
  </si>
  <si>
    <t>Fioul domestique, France     /L</t>
  </si>
  <si>
    <t>Fioul lourd      /T</t>
  </si>
  <si>
    <t>Fioul lourd, Europe     /L</t>
  </si>
  <si>
    <t>Fioul lourd, France     /L</t>
  </si>
  <si>
    <t>Gaz d'aciérie      /kWh PCI</t>
  </si>
  <si>
    <t>Gaz de cokerie      /kWh PCI</t>
  </si>
  <si>
    <t>Gaz de haut fourneau      /kWh PCI</t>
  </si>
  <si>
    <t>Gaz de pétrole liquéfié (GPL)      /T</t>
  </si>
  <si>
    <t>Gaz de pétrole liquéfié (GPL)      /kWh PCI</t>
  </si>
  <si>
    <t>Gaz de pétrole liquéfié (GPL)      /L</t>
  </si>
  <si>
    <t>Gaz de raffinerie / pétrochimie (non condensable)      /kWh PCI</t>
  </si>
  <si>
    <t>Gaz d'usine à gaz      /kWh PCI</t>
  </si>
  <si>
    <t>Gaz naturel      /T</t>
  </si>
  <si>
    <t>Gaz naturel      /kWh PCI</t>
  </si>
  <si>
    <t>Gaz naturel liquéfié (GNV)     /T</t>
  </si>
  <si>
    <t>Gaz naturel liquéfié maritime (GNL)     /kg</t>
  </si>
  <si>
    <t>Gazole non routier à la pompe     /L</t>
  </si>
  <si>
    <t>Gazole non routier à la pompe     /kg</t>
  </si>
  <si>
    <t>Gazole pur, Europe     /L</t>
  </si>
  <si>
    <t>Gazole pur, France     /L</t>
  </si>
  <si>
    <t>Gazole routier à la pompe     /L</t>
  </si>
  <si>
    <t>Gazole, B 30     /L</t>
  </si>
  <si>
    <t>GPL pour véhicule routier     /L</t>
  </si>
  <si>
    <t>Heavy fuel oil ISO 8217
Classes RME à RMK     /kg</t>
  </si>
  <si>
    <t>Houille (PCS&gt;23 865 kJ/kg)      /T</t>
  </si>
  <si>
    <t>Houille (PCS&gt;23 865 kJ/kg)      /kWh PCI</t>
  </si>
  <si>
    <t>Huile de schiste      /T</t>
  </si>
  <si>
    <t>Huile de schiste      /kWh PCI</t>
  </si>
  <si>
    <t>Huile usée de moteur à essence      /T</t>
  </si>
  <si>
    <t>Huile usée de moteur à essence      /kWh PCI</t>
  </si>
  <si>
    <t>Huile usée de moteur diesel      /T</t>
  </si>
  <si>
    <t>Huile usée de moteur diesel      /kWh PCI</t>
  </si>
  <si>
    <t>Kérosène      /T</t>
  </si>
  <si>
    <t>Kérosène      /kWh PCI</t>
  </si>
  <si>
    <t>Kérosène      /L</t>
  </si>
  <si>
    <t>Light fuel oil ISO 8217
Classes RMA à RMD     /kg</t>
  </si>
  <si>
    <t>Lignite (PCS&lt;17 435 kJ/kg)      /T</t>
  </si>
  <si>
    <t>Lignite (PCS&lt;17 435 kJ/kg)      /kWh PCI</t>
  </si>
  <si>
    <t>Lubrifiants usagés, France     /L</t>
  </si>
  <si>
    <t>Marine diesel oil ISO 8217
Classes DMX à DMB     /kg</t>
  </si>
  <si>
    <t>Mix gazole/essence fossile</t>
  </si>
  <si>
    <t>ADEME + calcul</t>
  </si>
  <si>
    <t>Mix biodiesel/bioethanol</t>
  </si>
  <si>
    <t>Naphta      /T</t>
  </si>
  <si>
    <t>Naphta      /kWh PCI</t>
  </si>
  <si>
    <t>Paille @10% d'humidité     /T</t>
  </si>
  <si>
    <t>Paille @10% d'humidité     /kWh PCI</t>
  </si>
  <si>
    <t>Paille @10% d'humidité     /L</t>
  </si>
  <si>
    <t>Plaquettes forestières @40% hum.     /T</t>
  </si>
  <si>
    <t>Plaquettes forestières @40% hum.     /kWh PCI</t>
  </si>
  <si>
    <t>Plaquettes forestières @40% hum.     /L</t>
  </si>
  <si>
    <t>Plastiques      /T</t>
  </si>
  <si>
    <t>Plastiques      /kWh PCI</t>
  </si>
  <si>
    <t>Pneumatiques usagés     /T</t>
  </si>
  <si>
    <t>Pneumatiques usagés     /kWh PCI</t>
  </si>
  <si>
    <t>Propane maritime     /kg</t>
  </si>
  <si>
    <t>Schistes      /T</t>
  </si>
  <si>
    <t>Schistes      /kWh PCI</t>
  </si>
  <si>
    <t>Solvant usagé / Solvant type G3000      /T</t>
  </si>
  <si>
    <t>Solvant usagé / Solvant type G3000      /kWh PCI</t>
  </si>
  <si>
    <t>Tourbe      /T</t>
  </si>
  <si>
    <t>Tourbe      /kWh PCI</t>
  </si>
  <si>
    <t>White spirit      /T</t>
  </si>
  <si>
    <t>White spirit      /kWh PCI</t>
  </si>
  <si>
    <t>White spirit      /L</t>
  </si>
  <si>
    <t>Chauffage     /kWh</t>
  </si>
  <si>
    <t>Electricité</t>
  </si>
  <si>
    <t>Climatisation tertiaire     /kWh</t>
  </si>
  <si>
    <t>Consommée à La Réunion     /kWh</t>
  </si>
  <si>
    <t>Consommée à Mayotte     /kWh</t>
  </si>
  <si>
    <t>Consommée en Corse     /kWh</t>
  </si>
  <si>
    <t>Consommée en France métropolitaine (hors Corse)     /kWh</t>
  </si>
  <si>
    <t>Consommée en Guadeloupe     /kWh</t>
  </si>
  <si>
    <t>Consommée en Guyane     /kWh</t>
  </si>
  <si>
    <t>Consommée en Martinique     /kWh</t>
  </si>
  <si>
    <t>Cuisson résidentiel     /kWh</t>
  </si>
  <si>
    <t>Eclairage public et industriel     /kWh</t>
  </si>
  <si>
    <t>Eclairage résidentiel     /kWh</t>
  </si>
  <si>
    <t>Froid, ECS et divers résidentiels     /kWh</t>
  </si>
  <si>
    <t>Industriel indifférencié     /kWh</t>
  </si>
  <si>
    <t>Lavage résidentiel     /kWh</t>
  </si>
  <si>
    <t>Produits bruns résidentiel     /kWh</t>
  </si>
  <si>
    <t>Tertiaire indifférencié     /kWh</t>
  </si>
  <si>
    <t>Transports     /kWh</t>
  </si>
  <si>
    <t>-- Chauffage --</t>
  </si>
  <si>
    <t>Charbon, appts &lt; 1975, chauff centr. Collectif     /kWh</t>
  </si>
  <si>
    <t>Chauffage</t>
  </si>
  <si>
    <t>Charbon, appts &gt; 1975, chauff centr. Collectif     /kWh</t>
  </si>
  <si>
    <t>Charbon, maisons &lt; 1975     /kWh</t>
  </si>
  <si>
    <t>Charbon, maisons &gt; 1975     /kWh</t>
  </si>
  <si>
    <t>Fioul, appts &lt; 1975, chauff. Cent. collectif     /kWh</t>
  </si>
  <si>
    <t>Fioul, appts &lt; 1975, chauff. Individuel     /kWh</t>
  </si>
  <si>
    <t>Fioul, appts &gt; 1975, chauff. Cent. collectif     /kWh</t>
  </si>
  <si>
    <t>Fioul, appts &gt; 1975, chauff. Individuel     /kWh</t>
  </si>
  <si>
    <t>Fioul, maisons après 1975     /kWh</t>
  </si>
  <si>
    <t>Fioul, maisons avant 1975     /kWh</t>
  </si>
  <si>
    <t>Gaz naturel, appts &lt; 1975, chauff. Cent. collectif     /kWh</t>
  </si>
  <si>
    <t>Gaz naturel, appts &lt; 1975, chauff. Individuel     /kWh</t>
  </si>
  <si>
    <t>Gaz naturel, appts &gt; 1975, chauff. Cent. collectif     /kWh</t>
  </si>
  <si>
    <t>Gaz naturel, appts &gt; 1975, chauff. Individuel     /kWh</t>
  </si>
  <si>
    <t>Gaz naturel, maisons après 1975     /kWh</t>
  </si>
  <si>
    <t>Gaz naturel, maisons avant 1975     /kWh</t>
  </si>
  <si>
    <t>GPL, appts &lt; 1975     /kWh</t>
  </si>
  <si>
    <t>GPL, appts &gt; 1975     /kWh</t>
  </si>
  <si>
    <t>GPL, maisons &lt; 1975     /kWh</t>
  </si>
  <si>
    <t>GPL, maisons &gt; 1975     /kWh</t>
  </si>
  <si>
    <t>GIEC</t>
  </si>
  <si>
    <t>Varie entre 320 et 458 TeqCO2/ha</t>
  </si>
  <si>
    <t>CATF</t>
  </si>
  <si>
    <t>Déboisement</t>
  </si>
  <si>
    <t>Varie entre 403 et 541 TeqCO2/ha</t>
  </si>
  <si>
    <t>G. Bruyat</t>
  </si>
  <si>
    <t>Colin et al.</t>
  </si>
  <si>
    <t>Il faut ensuite considérer des facteurs de pondération en fonction du système de sol considéré, du labour et des la quantité d'intrant</t>
  </si>
  <si>
    <t>Changement d'usage des sols</t>
  </si>
  <si>
    <t>--Mesures compensatoires</t>
  </si>
  <si>
    <t>Plantation forêts de feuillus</t>
  </si>
  <si>
    <t>ha.an</t>
  </si>
  <si>
    <t>Plantation forêts de conifères</t>
  </si>
  <si>
    <t>-- Général --</t>
  </si>
  <si>
    <t>Collecte des déchets</t>
  </si>
  <si>
    <t>Général</t>
  </si>
  <si>
    <t>Fonctionnement des centres de traitement - stockage</t>
  </si>
  <si>
    <t>Fonctionnement des centres de traitement - incinération</t>
  </si>
  <si>
    <t>Fonctionnement des centres de tri</t>
  </si>
  <si>
    <t>CET</t>
  </si>
  <si>
    <t>Pourcentage mis en CET : 40%</t>
  </si>
  <si>
    <t>Plastique</t>
  </si>
  <si>
    <t>Carton</t>
  </si>
  <si>
    <t>Papier</t>
  </si>
  <si>
    <t>Pourcentage mis en CET : 24%</t>
  </si>
  <si>
    <t>Déchets alimentaires</t>
  </si>
  <si>
    <t>Pourcentage mis en CET : 55%</t>
  </si>
  <si>
    <t>Ordures ménagères moyenne</t>
  </si>
  <si>
    <t>Divers non combustible et non fermentescible</t>
  </si>
  <si>
    <t>-- Incinération --</t>
  </si>
  <si>
    <t>Pourcentage incinéré : 0%</t>
  </si>
  <si>
    <t>Incinération</t>
  </si>
  <si>
    <t>Pourcentage incinéré : 32%</t>
  </si>
  <si>
    <t>Pourcentage incinéré : 14%</t>
  </si>
  <si>
    <t>Pourcentage incinéré : 31%</t>
  </si>
  <si>
    <t>-- Recyclage --</t>
  </si>
  <si>
    <t>Emissions évitées par le recyclage : -2090 kgeqCO2/T</t>
  </si>
  <si>
    <t>Recyclage</t>
  </si>
  <si>
    <t>Emissions évitées par le recyclage : 0 kgeqCO2/T</t>
  </si>
  <si>
    <t>-- Dangereux --</t>
  </si>
  <si>
    <t>Dangereux et eaux usées</t>
  </si>
  <si>
    <t>DIS - Incinération</t>
  </si>
  <si>
    <t>DAS - incinération</t>
  </si>
  <si>
    <t>THEME :</t>
  </si>
  <si>
    <t>teqCO2</t>
  </si>
  <si>
    <t>Ciment Portland CEM I - fabrication     /T</t>
  </si>
  <si>
    <t>Note sur la stratégie d'approvisionnement du chantier (cf ONE2-M042-2-B-DAVP-TRVX-SECT2-NOTE-1505-00-B)</t>
  </si>
  <si>
    <t>Transport fluvial CSNE ONE    /T.km</t>
  </si>
  <si>
    <t>Emissions de la production et transport d'électricité correspondant à une moyenne européenne (Etude Cereza Conseil 2014) ; hors transbordement</t>
  </si>
  <si>
    <t>Calcul des emissions</t>
  </si>
  <si>
    <t>TOTAL DES EMISSIONS SUR LES PRINCIPAUX POSTES EMISSIFS</t>
  </si>
  <si>
    <t>APP</t>
  </si>
  <si>
    <t>Electricité (réseau)</t>
  </si>
  <si>
    <t>Fioul lourd</t>
  </si>
  <si>
    <t>Gazole non routier</t>
  </si>
  <si>
    <t>litres</t>
  </si>
  <si>
    <t>2 Carburant - engins de chantier et véhicules équipes</t>
  </si>
  <si>
    <t>Sans plomb</t>
  </si>
  <si>
    <t>Gazoil</t>
  </si>
  <si>
    <t>E85</t>
  </si>
  <si>
    <t>B30</t>
  </si>
  <si>
    <t>GNV</t>
  </si>
  <si>
    <t>GPL</t>
  </si>
  <si>
    <t>GNL</t>
  </si>
  <si>
    <t>Bioethanol</t>
  </si>
  <si>
    <t>Unité</t>
  </si>
  <si>
    <t>Facteur d'emission utilisé</t>
  </si>
  <si>
    <t xml:space="preserve">Fioul lourd, France    </t>
  </si>
  <si>
    <t xml:space="preserve">Gasoil non routier, France  </t>
  </si>
  <si>
    <t>kgCO2/KWh</t>
  </si>
  <si>
    <t>kgCO2/T</t>
  </si>
  <si>
    <t>kgCO2/L</t>
  </si>
  <si>
    <t>kgCO2/kg</t>
  </si>
  <si>
    <t>1 Fret</t>
  </si>
  <si>
    <t>tonnes.km</t>
  </si>
  <si>
    <t>kgCO2/T.km</t>
  </si>
  <si>
    <t>Chaux</t>
  </si>
  <si>
    <t>Béton haute performance C60/75</t>
  </si>
  <si>
    <t>Acier</t>
  </si>
  <si>
    <t>Acier ou fer blanc neuf</t>
  </si>
  <si>
    <t>Acier ou fer blanc recyclé</t>
  </si>
  <si>
    <t>tonnes</t>
  </si>
  <si>
    <t>Traitement au ciment</t>
  </si>
  <si>
    <t>Traitement liant hydraulique</t>
  </si>
  <si>
    <t>Traitement à la Chaux</t>
  </si>
  <si>
    <t>Traitement bentonite</t>
  </si>
  <si>
    <t>Base Carbone V21.0 - Mars 2022</t>
  </si>
  <si>
    <t>Base Carbone V21.0 - Mars 2022 + calcul</t>
  </si>
  <si>
    <t>Masse volumique : 2,3 T/m3</t>
  </si>
  <si>
    <t>Béton - fin de vie hors recyclage       /T</t>
  </si>
  <si>
    <t>Béton - fin de vie moyenne       /T</t>
  </si>
  <si>
    <t>Béton (C35/45) - fabrication     /T</t>
  </si>
  <si>
    <t>SEVE</t>
  </si>
  <si>
    <t>Béton de propreté/de calage (C16/20 X0 CEMIII/A)     /m3</t>
  </si>
  <si>
    <t>Rapport CEREMA</t>
  </si>
  <si>
    <t>Béton de fondation (C25/30 XC2 CEMIII/A)     /m3</t>
  </si>
  <si>
    <t>Béton des piles (C35/45 XF2 CEMII/A-L ou LL)     /m3</t>
  </si>
  <si>
    <t>Béton de tablier (C45/55 XF1 CEMII/A-L ou LL)     /m3</t>
  </si>
  <si>
    <t>Béton hauter performance (C60/75 XF1 CEMI)     /m3</t>
  </si>
  <si>
    <t>Bloc béton, pose à joints épais     /m2</t>
  </si>
  <si>
    <t xml:space="preserve">Fin de vie : 1,58 kg eq CO2 / U </t>
  </si>
  <si>
    <t>Bloc béton, pose à joints épais     /kg</t>
  </si>
  <si>
    <t>Bloc béton, pose à joints minces     /m2</t>
  </si>
  <si>
    <t xml:space="preserve">Fin de vie : 1,30 kg eq CO2 / U </t>
  </si>
  <si>
    <t>Bloc béton, pose à joints minces     /kg</t>
  </si>
  <si>
    <t>Bloc de coffrage en béton, sans béton de remplissage     /m2</t>
  </si>
  <si>
    <t xml:space="preserve">Fin de vie : 2,49 kg eq CO2 / U </t>
  </si>
  <si>
    <t>Bloc de coffrage en béton, avec béton de remplissage     /m2</t>
  </si>
  <si>
    <t xml:space="preserve">Fin de vie : 5,56 kg eq CO2 / U </t>
  </si>
  <si>
    <t>Bloc de pierre ponce, ep 200 mm     /m2</t>
  </si>
  <si>
    <t xml:space="preserve">Fin de vie : 1,40 kg eq CO2 / U </t>
  </si>
  <si>
    <t>Bloc de pierre ponce     /kg</t>
  </si>
  <si>
    <t xml:space="preserve">Fin de vie : 0,00777 kg eq CO2 / U </t>
  </si>
  <si>
    <t>Canalisation béton armé (ø 300)      /ml</t>
  </si>
  <si>
    <t>Canalisation béton armé (ø 400)      /ml</t>
  </si>
  <si>
    <t>Canalisation béton armé (ø 500)      /ml</t>
  </si>
  <si>
    <t>Canalisation béton armé (ø 600)      /ml</t>
  </si>
  <si>
    <t>Canalisation béton armé (ø 800)      /ml</t>
  </si>
  <si>
    <t>Canalisation béton armé (ø 1000)      /ml</t>
  </si>
  <si>
    <t>Ciment CEM 1     /T</t>
  </si>
  <si>
    <t>Ciment CEM 1, portland, UK     /T</t>
  </si>
  <si>
    <t>ICE V3.0</t>
  </si>
  <si>
    <t>Qualité de la donnée : 76%</t>
  </si>
  <si>
    <t>Ciment CEM 2     /T</t>
  </si>
  <si>
    <t>Ciment CEM 2 - AL    /T</t>
  </si>
  <si>
    <t>ATILH</t>
  </si>
  <si>
    <t>Ciment CEM 2 - BL ou LL     /T</t>
  </si>
  <si>
    <t>Ciment CEM 2 - AM, 16% ciment remplacé, UK     /T</t>
  </si>
  <si>
    <t>Ciment CEM 2 - BM, 28% ciment remplacé     /T</t>
  </si>
  <si>
    <t>Qualité de la donnée : 75%</t>
  </si>
  <si>
    <t>Ciment CEM 2 - AP, 13% cendres pouzzolanique, UK      /T</t>
  </si>
  <si>
    <t>Qualité de la donnée : 74%</t>
  </si>
  <si>
    <t>Ciment CEM 2 - BP, 28% cendres pouzzolanique, UK      /T</t>
  </si>
  <si>
    <t>Qualité de la donnée : 72%</t>
  </si>
  <si>
    <t>Ciment CEM 2 - AS     /T</t>
  </si>
  <si>
    <t>Ciment CEM 2 - BS, 28% GGBs, Europe     /T</t>
  </si>
  <si>
    <t>Ciment CEM 2 - AV, 13% cendres siliceuses, UK     /T</t>
  </si>
  <si>
    <t>Ciment CEM 2 - BV, 28% cendres siliceuses, UK     /T</t>
  </si>
  <si>
    <t>Ciment CEM 2 - AW, 13% cendres calcaires, UK     /T</t>
  </si>
  <si>
    <t>Ciment CEM 2 - BW, 28% cendres calcaires, UK     /T</t>
  </si>
  <si>
    <t>Ciment CEM 3     /T</t>
  </si>
  <si>
    <t>Ciment CEM 3 - A     /T</t>
  </si>
  <si>
    <t>Ciment CEM 3 - B, 73% GGBs     /T</t>
  </si>
  <si>
    <t>Ciment CEM 3 - C, 88% GGBs, UK     /T</t>
  </si>
  <si>
    <t>Ciment CEM 4 - A (23%), UK     /T</t>
  </si>
  <si>
    <t>Ciment CEM 4 - B (46%), UK     /T</t>
  </si>
  <si>
    <t>Ciment CEM 5 - A     /T</t>
  </si>
  <si>
    <t>Ciment CEM 5 - B, UK     /T</t>
  </si>
  <si>
    <t>Ciment Portland - fabrication     /T</t>
  </si>
  <si>
    <t>Mortier     /kg</t>
  </si>
  <si>
    <t>Mur porteur béton ép 25cm      /m2</t>
  </si>
  <si>
    <t xml:space="preserve">Fin de vie : 0,6007 kg eq CO2 / U </t>
  </si>
  <si>
    <t>Poteau en béton armé, 0,3*0,3 m, béton C45/55, taux acier 50 kg/m3      /ml</t>
  </si>
  <si>
    <t xml:space="preserve">Fin de vie : 0,306 kg eq CO2 / U </t>
  </si>
  <si>
    <t>Poutre en béton précontraint, 0,20 m * 0,25 m      /ml</t>
  </si>
  <si>
    <t xml:space="preserve">Fin de vie : 0,0114 kg eq CO2 / U </t>
  </si>
  <si>
    <t>Poutrelle en béton précontraint, hauteur &lt; 12 cm      /ml</t>
  </si>
  <si>
    <t xml:space="preserve">Fin de vie : 0,0211 kg eq CO2 / U </t>
  </si>
  <si>
    <t>Poutrelle en béton précontraint, hauter 12-15cm      /ml</t>
  </si>
  <si>
    <t xml:space="preserve">Fin de vie : 0,0155 kg eq CO2 / U </t>
  </si>
  <si>
    <t>Prédalle en béton armé, 5 cm      /m2</t>
  </si>
  <si>
    <t xml:space="preserve">Fin de vie : 1,03 kg eq CO2 / U </t>
  </si>
  <si>
    <t xml:space="preserve">Fin de vie : 0,836 kg eq CO2 / U </t>
  </si>
  <si>
    <t>Tuile béton, 43,92kg / m2      /m2</t>
  </si>
  <si>
    <t xml:space="preserve">Fin de vie : 0,392 kg eq CO2 / U </t>
  </si>
  <si>
    <t>PEF 2.0 - Mars 2022</t>
  </si>
  <si>
    <t>Granulat, sortie de carrière     /T</t>
  </si>
  <si>
    <t>Granulat, recyclés, sortie de carrière     /T</t>
  </si>
  <si>
    <t>Gravier,  2 - 32 mm     /T</t>
  </si>
  <si>
    <t>PEF 2.0 - Mars 2022 (GaBi)</t>
  </si>
  <si>
    <t>Mix européen, fin de vie comprise</t>
  </si>
  <si>
    <t>Mix mondial</t>
  </si>
  <si>
    <t>Sable (quartz/silice)      /T</t>
  </si>
  <si>
    <t>Mix européen, issu de carrière</t>
  </si>
  <si>
    <t>Silicate de sodium (poudre)     /T</t>
  </si>
  <si>
    <t>PEF 2.0 - Mars 2022 (EcoInvent)</t>
  </si>
  <si>
    <t>Acier galvanisé (0% recyclé)     /T</t>
  </si>
  <si>
    <t>Guide CEREMA</t>
  </si>
  <si>
    <t>Gain lié à l'incorporation de 10% d'acier recyclé : 271 kgCO2</t>
  </si>
  <si>
    <t>Acier haute adhérence, armatures passives du béton armé     /kg</t>
  </si>
  <si>
    <t>Rapport CEREMA 2020</t>
  </si>
  <si>
    <t>Acier tôles fortes et profilés - Structures métalliques     /kg</t>
  </si>
  <si>
    <t>Aluminium mix européen consommé     /kg</t>
  </si>
  <si>
    <t>Aluminium, produit en Europe     /kg</t>
  </si>
  <si>
    <t>Aluminium, plaques, mix européen     /kg</t>
  </si>
  <si>
    <t>Aluminium, feuilles, mix européen     /kg</t>
  </si>
  <si>
    <t>Aluminium, profil extrudé, mix européen     /kg</t>
  </si>
  <si>
    <t>Aluminium, fonte, mix européen     /kg</t>
  </si>
  <si>
    <t>Base Carbone v21.0 - Mars 2022</t>
  </si>
  <si>
    <t>Aluminium recyclé     /kg</t>
  </si>
  <si>
    <t>PEF - Mars 2022</t>
  </si>
  <si>
    <t>Bardage acier simple peau, masse surfacique 4,2-7,99 kg/m2     /m2</t>
  </si>
  <si>
    <t>Fin de vie : 0,0813 kg eq CO2 / U</t>
  </si>
  <si>
    <t>Bardage acier simple peau, masse surfacique 8-13,3 kg/m2     /m2</t>
  </si>
  <si>
    <t>Fin de vie : 0,119 kg eq CO2 / U</t>
  </si>
  <si>
    <t>Canalisation fonte DUCTILE (ø 150)      /ml</t>
  </si>
  <si>
    <t>Canalisation fonte DUCTILE (ø 200)      /ml</t>
  </si>
  <si>
    <t>Canalisation fonte DUCTILE (ø 250)      /ml</t>
  </si>
  <si>
    <t>Canalisation fonte DUCTILE (ø 300)      /ml</t>
  </si>
  <si>
    <t>Canalisation fonte DUCTILE (ø 350)      /ml</t>
  </si>
  <si>
    <t>Canalisation fonte DUCTILE (ø 400)      /ml</t>
  </si>
  <si>
    <t>Mix mondial, &gt; 99% Co</t>
  </si>
  <si>
    <t>Couverture acier simple peau, masse surfacique 4,45-8,04 kg/m2     /m2</t>
  </si>
  <si>
    <t>Fin de vie : 0,0871 kg eq CO2 / U</t>
  </si>
  <si>
    <t>Couverture acier simple peau, masse surfacique 8,05-13,35 kg/m2     /m2</t>
  </si>
  <si>
    <t>Fin de vie : 0,127 kg eq CO2 / U</t>
  </si>
  <si>
    <t>Cuivre (neuf)     /kg</t>
  </si>
  <si>
    <t>Base Carbone v21.0 - Mars 2022 + ICSG</t>
  </si>
  <si>
    <t>&gt; 99,92%</t>
  </si>
  <si>
    <t>Grille fonte 40*40 250 kN      /unit</t>
  </si>
  <si>
    <t>Grille fonte 50*50 250 kN      /unit</t>
  </si>
  <si>
    <t>Grille fonte 60*60 250 kN      /unit</t>
  </si>
  <si>
    <t>Grille fonte 70*70 250 kN      /unit</t>
  </si>
  <si>
    <t>Grille fonte 80*80 250 kN      /unit</t>
  </si>
  <si>
    <t>Base Impact v2.01</t>
  </si>
  <si>
    <t>Class : recommandé et satisfaisant</t>
  </si>
  <si>
    <t>Plateau de bardage acier, masse surfacique 7,6-10,99 kg/m2      /m2</t>
  </si>
  <si>
    <t>Fin de vie : 0,116 kg eq CO2 / U</t>
  </si>
  <si>
    <t>Plateau de bardage acier, masse surfacique 11-16,35 kg/m2      /m2</t>
  </si>
  <si>
    <t>Fin de vie : 0,158 kg eq CO2 / U</t>
  </si>
  <si>
    <t>Plomb     /kg</t>
  </si>
  <si>
    <t>Poutrelle en acier      /kg</t>
  </si>
  <si>
    <t>Fin de vie : 0,043 kg eq CO2 / U</t>
  </si>
  <si>
    <t>Fin de vie : 2,45487 kg eq CO2 / U</t>
  </si>
  <si>
    <t>Support étanchéité acier, masse surfracique 6-11,99 kg/m2      /m2</t>
  </si>
  <si>
    <t>Fin de vie : 0,115 kg eq CO2 / U</t>
  </si>
  <si>
    <t>Support étanchéité acier, masse surfracique 12-19,63 kg/m2      /m2</t>
  </si>
  <si>
    <t>Fin de vie : 0,176 kg eq CO2 / U</t>
  </si>
  <si>
    <t>BB 0/6 manuel     /T</t>
  </si>
  <si>
    <t>BBMC 0/10 40% d'agrégats d'enrobés      /T</t>
  </si>
  <si>
    <t>BBME 0/10 Cl3 + 20% d'agrégats d'enrobés     /T</t>
  </si>
  <si>
    <t>BBS 0/10 + 10% d'AE     /T</t>
  </si>
  <si>
    <t>BBS 0/10 + 20% d'AE     /T</t>
  </si>
  <si>
    <t>SEVE + calcul</t>
  </si>
  <si>
    <t>BBSG classe 1 0/10     /T</t>
  </si>
  <si>
    <t>BBSG classe 1 0/10, 10 % d'agrégats d'enrobés     /T</t>
  </si>
  <si>
    <t>BBSG classe 2 0/10     /T</t>
  </si>
  <si>
    <t>BBSG classe 2 0/10, 10 % d'agrégats d'enrobés     /T</t>
  </si>
  <si>
    <t>BBSG classe 3 0/10     /T</t>
  </si>
  <si>
    <t>BBSG classe 3 0/10, 10 % d'agrégats d'enrobés     /T</t>
  </si>
  <si>
    <t>BBSG classe 3 0/10, 16 % d'agrégats d'enrobés     /T</t>
  </si>
  <si>
    <t>BBSG classe 3 0/14     /T</t>
  </si>
  <si>
    <t>BBSG classe 3 0/14, 10 % d'agrégats d'enrobés     /T</t>
  </si>
  <si>
    <t>BBSG classe 3 0/10 tiède     /T</t>
  </si>
  <si>
    <t>BBSG 0/14 liant modifié, 10 % d'agrégats d'enrobés     /T</t>
  </si>
  <si>
    <t>BC2. 59 (Outil du CG59) / SEVE</t>
  </si>
  <si>
    <t>Emulsion de répandage, 65%     /T</t>
  </si>
  <si>
    <t>Emulsion de répandage, 69%       /T</t>
  </si>
  <si>
    <t>Emulsion d'enrobage, 60%     /T</t>
  </si>
  <si>
    <t>Emulsion d'enrobage, 65%       /T</t>
  </si>
  <si>
    <t>GB 0/14 Classe 3       /T</t>
  </si>
  <si>
    <t>Masse volumique : 1,7T/m3</t>
  </si>
  <si>
    <t>100 % matériaux recyclés</t>
  </si>
  <si>
    <t>Liant hydraulique routier, clinker 10 %      /T</t>
  </si>
  <si>
    <t>Liant hydraulique routier, clinker 30 %      /T</t>
  </si>
  <si>
    <t>Liant hydraulique routier, clinker 70 %      /T</t>
  </si>
  <si>
    <t>LHR CL-T      /T</t>
  </si>
  <si>
    <t>ATILH 2018</t>
  </si>
  <si>
    <t>20% chaux, 20% schistes</t>
  </si>
  <si>
    <t>LHR CL-V      /T</t>
  </si>
  <si>
    <t>20% chaux, 20% cendres</t>
  </si>
  <si>
    <t>LHR L-V      /T</t>
  </si>
  <si>
    <t>10% calcaire, 10% cendre</t>
  </si>
  <si>
    <t>LHR L10      /T</t>
  </si>
  <si>
    <t>Calcaire 10%</t>
  </si>
  <si>
    <t>LHR L20      /T</t>
  </si>
  <si>
    <t>Calcaire 20%</t>
  </si>
  <si>
    <t>LHR L30      /T</t>
  </si>
  <si>
    <t>Calcaire 30%</t>
  </si>
  <si>
    <t>LHR L40      /T</t>
  </si>
  <si>
    <t>Calcaire 40%</t>
  </si>
  <si>
    <t>LHR S-CL      /T</t>
  </si>
  <si>
    <t>20 % chaux, 45% laitiers</t>
  </si>
  <si>
    <t>LHR S-L      /T</t>
  </si>
  <si>
    <t>15% calcaire, 60% laitiers</t>
  </si>
  <si>
    <t>LHR S-V      /T</t>
  </si>
  <si>
    <t>20% laitiers, 20% cendres</t>
  </si>
  <si>
    <t>LHR T-L      /T</t>
  </si>
  <si>
    <t>10% calcaire, 15% schistes</t>
  </si>
  <si>
    <t>LHR V10      /T</t>
  </si>
  <si>
    <t>Cendres 10%</t>
  </si>
  <si>
    <t>LHR V30      /T</t>
  </si>
  <si>
    <t>Cendres 30%</t>
  </si>
  <si>
    <t>LHR V50      /T</t>
  </si>
  <si>
    <t>Cendres 50%</t>
  </si>
  <si>
    <t>LHR S50      /T</t>
  </si>
  <si>
    <t>Laitier 50%</t>
  </si>
  <si>
    <t>LHR S60      /T</t>
  </si>
  <si>
    <t>Laitier 60%</t>
  </si>
  <si>
    <t>LHR S70      /T</t>
  </si>
  <si>
    <t>Laitier 70%</t>
  </si>
  <si>
    <t>LHR S80      /T</t>
  </si>
  <si>
    <t>Laitier 80%</t>
  </si>
  <si>
    <t>LHR S90      /T</t>
  </si>
  <si>
    <t>Laitier 90%</t>
  </si>
  <si>
    <t>Canalisation PVC CR4 (ø : 125)     /ml</t>
  </si>
  <si>
    <t>Canalisation PVC CR4 (ø : 160)     /ml</t>
  </si>
  <si>
    <t>Canalisation PVC CR4 (ø : 200)     /ml</t>
  </si>
  <si>
    <t>Canalisation PVC CR4 (ø : 250)     /ml</t>
  </si>
  <si>
    <t>Canalisation PVC CR4 (ø : 400)     /ml</t>
  </si>
  <si>
    <t>Canalisation PVC CR4 (ø : 630)     /ml</t>
  </si>
  <si>
    <t>Canalisation PVC CR8 (ø : 125)     /ml</t>
  </si>
  <si>
    <t>Canalisation PVC CR8 (ø : 160)     /ml</t>
  </si>
  <si>
    <t>Canalisation PVC CR8 (ø : 200)     /ml</t>
  </si>
  <si>
    <t>Canalisation PVC CR8 (ø : 250)     /ml</t>
  </si>
  <si>
    <t>Canalisation PVC CR8 (ø : 315)     /ml</t>
  </si>
  <si>
    <t>Canalisation PVC CR8 (ø : 400)     /ml</t>
  </si>
  <si>
    <t>Canalisation PVC CR8 (ø : 500)     /ml</t>
  </si>
  <si>
    <t>Canalisation PVC CR8 (ø : 630)     /ml</t>
  </si>
  <si>
    <t>Canalisations PE hors creusement et comblement, DN 160mm     /ml</t>
  </si>
  <si>
    <t>Canalisations PE hors creusement et comblement, DN 250mm     /ml</t>
  </si>
  <si>
    <t>Canalisations PE hors creusement et comblement, DN 400mm     /ml</t>
  </si>
  <si>
    <t>Caoutchouc butyle (IRR)     /kg</t>
  </si>
  <si>
    <t>Caoutchouc naturel (NR)     /kg</t>
  </si>
  <si>
    <t>Caoutchouc nitrile-butadiène (NBR)     /kg</t>
  </si>
  <si>
    <t>Caoutchouc poly-butadiène     /kg</t>
  </si>
  <si>
    <t>Films plastiques PET - pas recyclable (fabrication recyclé)     /T</t>
  </si>
  <si>
    <t>Phenolique, résine     /kg</t>
  </si>
  <si>
    <t>Concentration : 45%</t>
  </si>
  <si>
    <t>Plastique - moyenne (fabrication neuf)    /T</t>
  </si>
  <si>
    <t>Plastique - moyenne (fabrication recyclé)     /T</t>
  </si>
  <si>
    <t>PMMA billes     /kg</t>
  </si>
  <si>
    <t>Polybutadiène (PB)     /kg</t>
  </si>
  <si>
    <t>Polycarbonate (PC)     /kg</t>
  </si>
  <si>
    <t>Polyéthylène basse densité (PE-LD), fabrication ex-recyclé     /T</t>
  </si>
  <si>
    <t>Polyéthylène basse densité (PE-LD), fabrication neuf     /T</t>
  </si>
  <si>
    <t>Polyéthylène basse densité linéaire (PE-LLD)     /T</t>
  </si>
  <si>
    <t>Polyéthylène haute densité (PEHD), fabrication ex-recyclé     /T</t>
  </si>
  <si>
    <t>Polyéthylène haute densité (PEHD, fabrication neuf     /T</t>
  </si>
  <si>
    <t>Polypropylène (PP)     /T</t>
  </si>
  <si>
    <t>Polystyrène (PS) - moyenne      /T</t>
  </si>
  <si>
    <t>Polystyrène (PS), expansé, mousse      /kg</t>
  </si>
  <si>
    <t>Polystyrène (PS), expansé, granulés      /kg</t>
  </si>
  <si>
    <t>Polyuréthane (PUR)     /kg</t>
  </si>
  <si>
    <t>Outil AFD - v.2.1.3</t>
  </si>
  <si>
    <t>PTFE, granulés     /kg</t>
  </si>
  <si>
    <t>Styrène-acrylonitrile (SAN)     /kg</t>
  </si>
  <si>
    <t>Styrène-butadiène (SBR)     /kg</t>
  </si>
  <si>
    <t>Fin de vie :1,72 kg eq CO2 / U</t>
  </si>
  <si>
    <t>Fin de vie : 1,05 kg eq CO2 / U</t>
  </si>
  <si>
    <t>Asphalte étanchéité ouvrage d'art      /m2</t>
  </si>
  <si>
    <t>Fin de vie : 0,608 kg eq CO2 / U</t>
  </si>
  <si>
    <t>Fin de vie : 13,8 kg eq CO2 / U</t>
  </si>
  <si>
    <t>Fenêtre bois-alu, double vitrage (gestion durable)     /m2</t>
  </si>
  <si>
    <t>Fin de vie : 30,3 kg eq CO2 / U</t>
  </si>
  <si>
    <t>Fenêtre bois-alu, double vitrage (gestion non durable)     /m2</t>
  </si>
  <si>
    <t>Fenêtre bois, double vitrage (gestion durable)     /m2</t>
  </si>
  <si>
    <t>Fin de vie : 24,4 kg eq CO2 / U</t>
  </si>
  <si>
    <t>Fenêtre bois, double vitrage (gestion non durable)     /m2</t>
  </si>
  <si>
    <t>Fenêtre bois, triple vitrage (gestion durable)     /m2</t>
  </si>
  <si>
    <t>Fin de vie : 18,7 kg eq CO2 / U</t>
  </si>
  <si>
    <t>Fenêtre bois, triple vitrage (gestion non durable)     /m2</t>
  </si>
  <si>
    <t>Fenêtre PVC, double vitrage     /m2</t>
  </si>
  <si>
    <t>Fin de vie : 3,95 kg eq CO2 / U</t>
  </si>
  <si>
    <t>Pavés béton épaisseur 6 cm     /m2</t>
  </si>
  <si>
    <t>Pavés pierre naturelle 7 cm     /m2</t>
  </si>
  <si>
    <t>Pavés pierre naturelle 10 cm     /m2</t>
  </si>
  <si>
    <t>Pavés pierre naturelle 14 cm     /m2</t>
  </si>
  <si>
    <t>Porte alu, non vitrée     /m2</t>
  </si>
  <si>
    <t>Fin de vie : 3,58 kg eq CO2 / U</t>
  </si>
  <si>
    <t>Porte alu, vitrée     /m2</t>
  </si>
  <si>
    <t>Fin de vie : 3,83 kg eq CO2 / U</t>
  </si>
  <si>
    <t>Fin de vie : 46 kg eq CO2 / U</t>
  </si>
  <si>
    <t>Revêtement d'étanchéité, EPDM Non renforcée 1,5 mm, adhérence totale      /m2</t>
  </si>
  <si>
    <t>Fin de vie : 4,39 kg eq CO2 / U</t>
  </si>
  <si>
    <t>Revêtement d'étanchéité, EPDM Renforcée 1,5 mm, fixation mécanique     /m2</t>
  </si>
  <si>
    <t>Fin de vie : 3,27 kg eq CO2 / U</t>
  </si>
  <si>
    <t>Revêtement d'étanchéité, Ultraply TPO 1,8 mm, fixation mécanique      /m2</t>
  </si>
  <si>
    <t>Fin de vie : 3,03 kg eq CO2 / U</t>
  </si>
  <si>
    <t>Vitrage double, UK     /kg</t>
  </si>
  <si>
    <t>Vitrage double, 8 mm, UK     /m2</t>
  </si>
  <si>
    <t>Vitrage double, 10 mm, UK     /m2</t>
  </si>
  <si>
    <t>Vitrage triple, 12 mm, UK     /m2</t>
  </si>
  <si>
    <t>Vitrage triple, UK     /kg</t>
  </si>
  <si>
    <t>Vitrage multi couche sécurité, UK     /kg</t>
  </si>
  <si>
    <t>Engrais potassique moyen     /T de K2O</t>
  </si>
  <si>
    <t>Potasse par tonne de K2O     /T de K2O</t>
  </si>
  <si>
    <t>T de K2O</t>
  </si>
  <si>
    <t>Vernis acrylique     /kg</t>
  </si>
  <si>
    <t>Verre plat non revêtu (fabrication neuf)     /T</t>
  </si>
  <si>
    <t>Production Europe</t>
  </si>
  <si>
    <t>Verre plat floté     /T</t>
  </si>
  <si>
    <t>Bardage en lames de bois, toutes essences        /m2</t>
  </si>
  <si>
    <t>Fin de vie : 17,6 kg eq CO2 / U</t>
  </si>
  <si>
    <t>Charpente traditionnelle en bois, toutes essences        /m3</t>
  </si>
  <si>
    <t>Fin de vie : 736 kg eq CO2 / U</t>
  </si>
  <si>
    <t>Charpente traditionnelle en bois collé, toutes essences        /m3</t>
  </si>
  <si>
    <t>Element d'ossature en bois, toutes essences     /m3</t>
  </si>
  <si>
    <t>Fin de vie : 737 kg eq CO2 / U</t>
  </si>
  <si>
    <t>Element porteur feuillus en bois de France (poteaux, poutres, solives)     /m3</t>
  </si>
  <si>
    <t>Fin de vie : 1150 kg eq CO2 / U</t>
  </si>
  <si>
    <t>Element porteur résineux en bois de France (poteaux, poutres, solives)     /m3</t>
  </si>
  <si>
    <t>Mur ossature en bois, toutes essences     /m2</t>
  </si>
  <si>
    <t>Fin de vie : 24,5 kg eq CO2 / U</t>
  </si>
  <si>
    <t>Platelages en lames de bois, toutes essences        /m2</t>
  </si>
  <si>
    <t>Fin de vie : 28,8 kg eq CO2 / U</t>
  </si>
  <si>
    <t>Carton neuf     /T</t>
  </si>
  <si>
    <t>Carton recyclé     /T</t>
  </si>
  <si>
    <t>Câble électrique externe, alimentation principale (avec gaine PVC, isolation PE)     /ml</t>
  </si>
  <si>
    <t>Câble électrique interne, alimentation (isolation PE)     /ml</t>
  </si>
  <si>
    <t>Câble électrique, signal     /ml</t>
  </si>
  <si>
    <t>Caniveau type CC1     /ml</t>
  </si>
  <si>
    <t>Caniveau type CC2     /ml</t>
  </si>
  <si>
    <t>Caniveau type CS1     /ml</t>
  </si>
  <si>
    <t>Caniveau type CS2     /ml</t>
  </si>
  <si>
    <t>Construction bâtiment de bureaux     /m2 SHON</t>
  </si>
  <si>
    <t>File de glissières simples (acier ou béton)      /ml</t>
  </si>
  <si>
    <t>File de glissières doubles (acier ou béton)      /ml</t>
  </si>
  <si>
    <t>Glissière de sécurité, pour voirie de type TC5      /ml</t>
  </si>
  <si>
    <t>Glissière de sécurité, pour voirie de type TC6      /m</t>
  </si>
  <si>
    <t>Glissière de sécurité, pour voirie de type TC7      /ml</t>
  </si>
  <si>
    <t>Glissières métalliques GS2      /ml</t>
  </si>
  <si>
    <t>Glissières métalliques GS4      /ml</t>
  </si>
  <si>
    <t>Système de protection motocycliste      /ml</t>
  </si>
  <si>
    <t>Glissières métalliques DE2      /ml</t>
  </si>
  <si>
    <t>Glissières béton GBA      /ml</t>
  </si>
  <si>
    <t>Glissières béton DBA      /ml</t>
  </si>
  <si>
    <t>Grillage en acier, soudé en rouleau, h 1,2 m     /ml</t>
  </si>
  <si>
    <t>Fin de vie : 2,02 kg eq CO2 / U</t>
  </si>
  <si>
    <t>Ouvrage d'art moyen     /m² de tablier</t>
  </si>
  <si>
    <t>m2 de tablier</t>
  </si>
  <si>
    <t>Rapport CEREMA 2020_Extrait guide Cimbéton</t>
  </si>
  <si>
    <t>Parking, aire de repos d'autoroute, béton armé     /m²</t>
  </si>
  <si>
    <t>Parking, aire de repos d'autoroute, bitume     /m²</t>
  </si>
  <si>
    <t>Parking, aire de repos d'autoroute, Semi rigide     /m²</t>
  </si>
  <si>
    <t>Parking, classique, béton armé     /m²</t>
  </si>
  <si>
    <t>Parking, classique, bitume     /m²</t>
  </si>
  <si>
    <t>Parking, classique, Semi rigide     /m²</t>
  </si>
  <si>
    <t>Voirie, de type TC1, béton armé     /m2</t>
  </si>
  <si>
    <t>Voirie, de type TC1, bitume     /m2</t>
  </si>
  <si>
    <t>Voirie, de type TC1, Semi rigide     /m2</t>
  </si>
  <si>
    <t>Voirie, de type TC2, béton armé     /m2</t>
  </si>
  <si>
    <t>Voirie, de type TC2, bitume     /m2</t>
  </si>
  <si>
    <t>Voirie, de type TC2, Semi rigide     /m2</t>
  </si>
  <si>
    <t>Voirie, de type TC3, béton armé     /m2</t>
  </si>
  <si>
    <t>Voirie, de type TC3, bitume     /m2</t>
  </si>
  <si>
    <t>Voirie, de type TC3, Semi rigide     /m2</t>
  </si>
  <si>
    <t>Voirie, de type TC4, béton armé     /m2</t>
  </si>
  <si>
    <t>Voirie, de type TC4, bitume     /m2</t>
  </si>
  <si>
    <t>Voirie, de type TC4, Semi rigide     /m2</t>
  </si>
  <si>
    <t>Voirie, de type TC5, béton armé     /m2</t>
  </si>
  <si>
    <t>Voirie, de type TC5, bitume     /m2</t>
  </si>
  <si>
    <t>Voirie, de type TC5, Semi rigide     /m2</t>
  </si>
  <si>
    <t>Voirie, de type TC6, béton armé     /m2</t>
  </si>
  <si>
    <t>Voirie, de type TC6, bitume     /m2</t>
  </si>
  <si>
    <t>Voirie, de type TC6, Semi rigide     /m2</t>
  </si>
  <si>
    <t>Voirie, de type TC7, béton armé     /m2</t>
  </si>
  <si>
    <t>Voirie, de type TC7, bitume     /m2</t>
  </si>
  <si>
    <t>Voirie, de type TC7, Semi rigide     /m2</t>
  </si>
  <si>
    <t>Briques en argile, UK     /kg</t>
  </si>
  <si>
    <t>Qualité de la donnée : 80%</t>
  </si>
  <si>
    <t>Chanvre     /kg</t>
  </si>
  <si>
    <t>Carrelages céramiques, ep 7 mm     /m2</t>
  </si>
  <si>
    <t>Fin de vie : 0,644 kg eq CO2 / U</t>
  </si>
  <si>
    <t>Carrelages céramiques, ep 7 - 10 mm     /m2</t>
  </si>
  <si>
    <t>Fin de vie : 0,92 kg eq CO2 / U</t>
  </si>
  <si>
    <t>Carrelages céramiques, ep 10 - 12,5 mm     /m2</t>
  </si>
  <si>
    <t>Fin de vie : 1,15 kg eq CO2 / U</t>
  </si>
  <si>
    <t>Fibres de Carbone, haute résistance, fibre longue     /kg</t>
  </si>
  <si>
    <t>Fibres de Carbone, fibre courte     /kg</t>
  </si>
  <si>
    <t>Gabion     /m3</t>
  </si>
  <si>
    <t>Fin de vie : 374 kg eq CO2 / U</t>
  </si>
  <si>
    <t>Géotextile, 100 g/m2     /m2</t>
  </si>
  <si>
    <t>Géotextile, 150 g/m2     /m2</t>
  </si>
  <si>
    <t>Résine de mélamine     /kg</t>
  </si>
  <si>
    <t>Résine de polyester insaturé     /kg</t>
  </si>
  <si>
    <t>Résine époxy     /kg</t>
  </si>
  <si>
    <t>Résine phénolique     /kg</t>
  </si>
  <si>
    <t>Alimentateur     /Heure</t>
  </si>
  <si>
    <t>Arroseuse     /Heure</t>
  </si>
  <si>
    <t>Balayeuse aspiratrice     /Heure</t>
  </si>
  <si>
    <t>Bouteur (15 à 20t), travaux de terrassement     /Heure</t>
  </si>
  <si>
    <t>Bouteur (20 à 25t), travaux de terrassement     /Heure</t>
  </si>
  <si>
    <t>Bouteur (25 à 30t), travaux de terrassement     /Heure</t>
  </si>
  <si>
    <t>Bouteur (30 à 40t), travaux de terrassement     /Heure</t>
  </si>
  <si>
    <t>Bouteur (&gt; 40t), travaux de terrassement     /Heure</t>
  </si>
  <si>
    <t>Bouteur (15 à 20t), travaux routiers     /Heure</t>
  </si>
  <si>
    <t>Bouteur (20 à 25t), travaux routiers     /Heure</t>
  </si>
  <si>
    <t>Bouteur (25 à 30t), travaux routiers     /Heure</t>
  </si>
  <si>
    <t>Camion 6/4 14T     /Heure</t>
  </si>
  <si>
    <t>Camion 8/4 19T     /Heure</t>
  </si>
  <si>
    <t>Camion semi 24 T     /Heure</t>
  </si>
  <si>
    <t>Chargeuse &lt;10t     /Heure</t>
  </si>
  <si>
    <t>Compacteur à pneu P1     /Heure</t>
  </si>
  <si>
    <t>Compacteur monobille V5     /Heure</t>
  </si>
  <si>
    <t>Compacteur monobille VM3     /Heure</t>
  </si>
  <si>
    <t>Compacteur tandem vibrant V1     /Heure</t>
  </si>
  <si>
    <t>Compacteur tandem vibrant V2     /Heure</t>
  </si>
  <si>
    <t>Compacteur, petit 1 - 1,20 m     /Heure</t>
  </si>
  <si>
    <t>Epandeuse de liant hydraulique, travaux de terrassement     /Heure</t>
  </si>
  <si>
    <t>Epandeuse de liant hydraulique, travaux routiers     /Heure</t>
  </si>
  <si>
    <t>Finisseur &lt; 200 T/j     /Heure</t>
  </si>
  <si>
    <t>Finisseur, 15 - 20 T     /Heure</t>
  </si>
  <si>
    <t>Finisseur 20 - 25 T     /Heure</t>
  </si>
  <si>
    <t>Gravilloneur     /Heure</t>
  </si>
  <si>
    <t>Machine de recyclage en place des couches de chaussées     /Heure</t>
  </si>
  <si>
    <t>Machine à coffrage glissant pour chaussée béton     /Heure</t>
  </si>
  <si>
    <t>Machine MBCF     /Heure</t>
  </si>
  <si>
    <t>Malaxeur, petit, traitement de sol (terrassement)     /Heure</t>
  </si>
  <si>
    <t>Malaxeur, petit, traitement de sol (travaux routiers)     /Heure</t>
  </si>
  <si>
    <t>Malaxeur, traitement de sol (terrassement)     /Heure</t>
  </si>
  <si>
    <t>Malaxeur, traitement de sol (travaux routiers)     /Heure</t>
  </si>
  <si>
    <t>Niveleuse (&lt; 14t), travaux de terrassement     /Heure</t>
  </si>
  <si>
    <t>Niveleuse (14 à 20t), travaux de terrassement     /Heure</t>
  </si>
  <si>
    <t>Niveleuse (&gt; 20t), travaux de terrassement     /Heure</t>
  </si>
  <si>
    <t>Niveleuse (&lt; 14t), travaux routiers     /Heure</t>
  </si>
  <si>
    <t>Niveleuse (14 à 20t), travaux routiers     /Heure</t>
  </si>
  <si>
    <t>PATA (Répandeuse gravillonneur synchrone)     /Heure</t>
  </si>
  <si>
    <t>Pelle sur chenille 20 à 40t, travaux de terrassement     /Heure</t>
  </si>
  <si>
    <t>Pelle sur chenille 40 à 70t, travaux de terrassement     /Heure</t>
  </si>
  <si>
    <t>Pelle sur chenille 60 à 80t, travaux de terrassement     /Heure</t>
  </si>
  <si>
    <t>Pelle sur chenille &gt; 80t, travaux de terrassement     /Heure</t>
  </si>
  <si>
    <t>Pelle sur chenille 20 à 40t, travaux routiers     /Heure</t>
  </si>
  <si>
    <t>Pelle sur chenille 40 à 70t, travaux routiers     /Heure</t>
  </si>
  <si>
    <t>Pétrin à asphalte     /Heure</t>
  </si>
  <si>
    <t>Raboteuse 0,35 m     /Heure</t>
  </si>
  <si>
    <t>Raboteuse 1 m     /Heure</t>
  </si>
  <si>
    <t>Répandeuse de liant bitumineux     /Heure</t>
  </si>
  <si>
    <t>Tombereau articulé, 20 à 30t, travaux de terrassement    /Heure</t>
  </si>
  <si>
    <t>Tombereau articulé, 20 à 30t, travaux routiers     /Heure</t>
  </si>
  <si>
    <t>Tombereau articulé, 30 à 50t, travaux de terrassement     /Heure</t>
  </si>
  <si>
    <t>Tombereau articulé, 30 à 50t, travaux routiers     /Heure</t>
  </si>
  <si>
    <t>Tombereau rigide (&lt; 40t), travaux de terrassement     /Heure</t>
  </si>
  <si>
    <t>Tombereau rigide (40 à 50t), travaux de terrassement     /Heure</t>
  </si>
  <si>
    <t>Tombereau rigide (&lt; 40t), travaux routiers     /Heure</t>
  </si>
  <si>
    <t>Tombereau rigide (40 à 50t), travaux routiers     /Heure</t>
  </si>
  <si>
    <t>Imprimantes jet d'encre     /appareil</t>
  </si>
  <si>
    <t>Imprimantes laser     /appareil</t>
  </si>
  <si>
    <t>Imprimantes multi-fonction     /appareil</t>
  </si>
  <si>
    <t>Ordinateurs fixe bureautique     /appareil</t>
  </si>
  <si>
    <t>Ordinateurs fixe haute performance     /appareil</t>
  </si>
  <si>
    <t>Ordinateurs portable     /appareil</t>
  </si>
  <si>
    <t>Service, Machines et équipements      /k€</t>
  </si>
  <si>
    <t>Service, Meubles et autres biens manufacturés      /k€</t>
  </si>
  <si>
    <t>Service, Produits informatiques, électroniques et optiques      /k€</t>
  </si>
  <si>
    <t>Service, Transport aérien      /k€</t>
  </si>
  <si>
    <t>Service, Transport fluvial et maritime      /k€</t>
  </si>
  <si>
    <t>Service, Transport terrestre      /k€</t>
  </si>
  <si>
    <t>Fabrication VP</t>
  </si>
  <si>
    <t>Articulé, &lt; 34 tonnes, Diesel routier, 7 % de biodiesel               /T.km</t>
  </si>
  <si>
    <t>Articulé, 34 à 40 tonnes, Diesel routier, 7 % de biodiesel               /T.km</t>
  </si>
  <si>
    <t>Articulé, 34 à 40 tonnes, GNC               /T.km</t>
  </si>
  <si>
    <t>Articulé, 34 à 40 tonnes, GNL               /T.km</t>
  </si>
  <si>
    <t>Articulé, 34 à 40 tonnes, GNL, bio 20%               /T.km</t>
  </si>
  <si>
    <t>Articulé, 40 à 44 tonnes, Diesel routier, 7 % de biodiesel               /T.km</t>
  </si>
  <si>
    <t>Articulé, 44 à 60 tonnes, Diesel routier, 7 % de biodiesel               /T.km</t>
  </si>
  <si>
    <t>Articulé, 60 à 72 tonnes, Diesel routier, 7 % de biodiesel               /T.km</t>
  </si>
  <si>
    <t>Camion porteur, 45 m3     /m3.km</t>
  </si>
  <si>
    <t>m3.km</t>
  </si>
  <si>
    <t>Fourgon, 8 m3      /m3.km</t>
  </si>
  <si>
    <t>Rigide, 3,5 à 7,5 tonnes, Diesel routier, 7 % de biodiesel               /T.km</t>
  </si>
  <si>
    <t>Rigide, 3,5 à 7,5 tonnes, Electrique               /T.km</t>
  </si>
  <si>
    <t>Rigide, 3,5 à 7,5 tonnes, GNC               /T.km</t>
  </si>
  <si>
    <t>Rigide, 3,5 à 7,5 tonnes, Hybride parallèle               /T.km</t>
  </si>
  <si>
    <t>Rigide, 3,5 à 7,5 tonnes, Hybride série               /T.km</t>
  </si>
  <si>
    <t>Rigide, 7,5 à 12 tonnes, Diesel routier, 7 % de biodiesel               /T.km</t>
  </si>
  <si>
    <t>Rigide, 7,5 à 12 tonnes, GNC               /T.km</t>
  </si>
  <si>
    <t>Rigide, 12 à 20 tonnes, Diesel routier, 7 % de biodiesel               /T.km</t>
  </si>
  <si>
    <t>Rigide, 12 à 20 tonnes, GNC               /T.km</t>
  </si>
  <si>
    <t>Rigide, 12 à 20 tonnes, GNL               /T.km</t>
  </si>
  <si>
    <t>Rigide, 20 à 26 tonnes, Diesel routier, 7 % de biodiesel               /T.km</t>
  </si>
  <si>
    <t>Rigide, 20 à 26 tonnes, GNC               /T.km</t>
  </si>
  <si>
    <t>Rigide, 20 à 26 tonnes, GNL               /T.km</t>
  </si>
  <si>
    <t>Rigide, 26 à 32 tonnes, Diesel routier, 7 % de biodiesel               /T.km</t>
  </si>
  <si>
    <t>Utilitaire &lt;3,5t, , Hydrogène  mix EnR     /km</t>
  </si>
  <si>
    <t>Utilitaire &lt;3,5t, , Hydrogène mix France     /km</t>
  </si>
  <si>
    <t>Utilitaire &lt;3,5t, , Hydrogène UE     /km</t>
  </si>
  <si>
    <t>Utilitaire &lt;3,5t, , Hydrogène SMR biométhane centralisé     /km</t>
  </si>
  <si>
    <t>Utilitaire &lt;3,5t, , Hydrogène SMR gaz naturel centralisé     /km</t>
  </si>
  <si>
    <t>VUL, &lt; 3,5 tonnes, Diesel routier, 7 % de biodiesel               /T.km</t>
  </si>
  <si>
    <t>VUL, &lt; 3,5 tonnes, Essence               /T.km</t>
  </si>
  <si>
    <t>VUL, &lt; 3,5 tonnes, GNC               /T.km</t>
  </si>
  <si>
    <t>VUL, &lt; 3,5 tonnes, GPL               /T.km</t>
  </si>
  <si>
    <t>Arrêté du 10 avril 2012 + FE gazole</t>
  </si>
  <si>
    <t>Train, Motorisation moyenne, Chargement dense (600 T)     /T.km</t>
  </si>
  <si>
    <t>Train, Motorisation moyenne, Chargement léger (400 T)     /T.km</t>
  </si>
  <si>
    <t>Train, Motorisation moyenne, Chargement moyen (520 T)                           /T.km</t>
  </si>
  <si>
    <t>Train, Traction diesel, Chargement dense (600 T)     /T.km</t>
  </si>
  <si>
    <t>Train, Traction diesel, Chargement léger (400 T)     /T.km</t>
  </si>
  <si>
    <t>Train, Traction diesel, Chargement moyen (520 T)                           /T.km</t>
  </si>
  <si>
    <t>Train, Traction électrique, Chargement dense (600 T)     /T.km</t>
  </si>
  <si>
    <t>Train, Traction électrique, Chargement léger (400 T)     /T.km</t>
  </si>
  <si>
    <t>Train, Traction électrique, Chargement moyen (520 T)                           /T.km</t>
  </si>
  <si>
    <t>Fret ferroviaire - Electricité - 400 T     /veh.km</t>
  </si>
  <si>
    <t>Pétrolier, &lt; 5 000 tonnes, HFO-MGO     /T.km</t>
  </si>
  <si>
    <t>Pétrolier, 5 000 à 60 000 tonnes, HFO-MGO     /T.km</t>
  </si>
  <si>
    <t>Pétrolier, 60 000 à 200 000 tonnes, HFO-MGO     /T.km</t>
  </si>
  <si>
    <t>Pétrolier, &gt; 200 000 tonnes, GNL     /T.km</t>
  </si>
  <si>
    <t>Pétrolier, &gt; 200 000 tonnes, HFO-MGO     /T.km</t>
  </si>
  <si>
    <t>Arrêté du 10 avril 2012 + FE HVO MDO</t>
  </si>
  <si>
    <t>Porte-conteneur, Dry, Asie - Europe du Nord     /T.km</t>
  </si>
  <si>
    <t>Porte-conteneur, Dry, Asie - Méditerranée     /T.km</t>
  </si>
  <si>
    <t>Porte-conteneur, Dry, Europe - Afrique     /T.km</t>
  </si>
  <si>
    <t>Porte-conteneur, Dry, Europe - Amérique du Sud et Centrale     /T.km</t>
  </si>
  <si>
    <t>Porte-conteneur, Dry, Europe - Moyen-Orient et Inde     /T.km</t>
  </si>
  <si>
    <t>Porte-conteneur, Dry, Europe - Océanie     /T.km</t>
  </si>
  <si>
    <t>Porte-conteneur, Dry, Europe du Nord - Amérique du Nord, façade atlantique     /T.km</t>
  </si>
  <si>
    <t>Porte-conteneur, Dry, Europe du Nord - Amérique du Nord, façade pacifique     /T.km</t>
  </si>
  <si>
    <t>Porte-conteneur, Dry, Europe du Nord - Médtierranée     /T.km</t>
  </si>
  <si>
    <t>Porte-conteneur, Dry, Intra Europe du Nord     /T.km</t>
  </si>
  <si>
    <t>Porte-conteneur, Dry, Intra Méditerranée     /T.km</t>
  </si>
  <si>
    <t>Porte-conteneur, Dry, Méditerranée - Amérique du Nord, façade atlantique     /T.km</t>
  </si>
  <si>
    <t>Porte-conteneur, Dry, Méditerranée - Amérique du Nord, façade pacifique     /T.km</t>
  </si>
  <si>
    <t>Porte-conteneur, Dry, Trans-Atlantique     /T.km</t>
  </si>
  <si>
    <t>Porte-conteneur, Dry, Trans-Suez     /T.km</t>
  </si>
  <si>
    <t>Porte-conteneur, Dry, Valeur moyenne     /T.km</t>
  </si>
  <si>
    <t>Ro-Pax, HFO-MGO     /T.km</t>
  </si>
  <si>
    <t>Ro-Ro, Camions et Remorques, HFO-MGO     /T.km</t>
  </si>
  <si>
    <t>Ro-Ro, Chargement moyen, HFO-MGO     /T.km</t>
  </si>
  <si>
    <t>Ro-Ro, Remorques uniquement, HFO-MGO     /T.km</t>
  </si>
  <si>
    <t>Vraquier, 10 000 à 100 000 tonnes, HFO - MGO     /T.km</t>
  </si>
  <si>
    <t>Vraquier, &lt; 10 000 tonnes, GNL     /T.km</t>
  </si>
  <si>
    <t>Vraquier, &lt; 10 000 tonnes, HFO - MGO     /T.km</t>
  </si>
  <si>
    <t>Vraquier, &gt; 100 000 tonnes, HFO - MGO     /T.km</t>
  </si>
  <si>
    <t>Avion cargo, 10-25 t, 0-500 km, avec trainées         /T.km</t>
  </si>
  <si>
    <t>Avion cargo, 10-25 t, 500-1000 km, avec trainées         /T.km</t>
  </si>
  <si>
    <t>Avion cargo, 26-100 t, 0-500 km, avec trainées         /T.km</t>
  </si>
  <si>
    <t>Avion cargo, 26-100 t, 500-1000 km, avec trainées         /T.km</t>
  </si>
  <si>
    <t>Avion cargo, &gt; 100 t, 0-500 km, avec trainées         /T.km</t>
  </si>
  <si>
    <t>Avion cargo, &gt; 100 t, 500-1000 km, avec trainées         /T.km</t>
  </si>
  <si>
    <t>Avion cargo, &gt; 100 t, 1000-3500 km, avec trainées         /T.km</t>
  </si>
  <si>
    <t>Avion cargo, &gt; 100 t, &gt; 3500 km, avec trainées         /T.km</t>
  </si>
  <si>
    <t>Avion cargo, 10-25 t, 0-500 km, sans trainées         /T.km</t>
  </si>
  <si>
    <t>Avion cargo, 10-25 t, 500-1000 km, sans trainées         /T.km</t>
  </si>
  <si>
    <t>Avion cargo, 26-100 t, 0-500 km, sans trainées         /T.km</t>
  </si>
  <si>
    <t>Avion cargo, 26-100 t, 500-1000 km, sans trainées         /T.km</t>
  </si>
  <si>
    <t>Avion cargo, &gt; 100 t, 0-500 km, sans trainées         /T.km</t>
  </si>
  <si>
    <t>Avion cargo, &gt; 100 t, 500-1000 km, sans trainées         /T.km</t>
  </si>
  <si>
    <t>Avion cargo, &gt; 100 t, 1000-3500 km, sans trainées         /T.km</t>
  </si>
  <si>
    <t>Avion cargo, &gt; 100 t, &gt; 3500 km, sans trainées         /T.km</t>
  </si>
  <si>
    <t>Court courrier &lt; 1000 km, avec trainées     /T.km</t>
  </si>
  <si>
    <t>Court courrier &lt; 1000 km, sans trainées     /T.km</t>
  </si>
  <si>
    <t>Long courrier, avec trainées     /T.km</t>
  </si>
  <si>
    <t>Long courrier, sans trainées     /T.km</t>
  </si>
  <si>
    <t>Moyen courrier, avec trainées     /T.km</t>
  </si>
  <si>
    <t>Moyen courrier, sans trainées     /T.km</t>
  </si>
  <si>
    <t>Base Carbone v21.0 - Mars 2022 + calcul</t>
  </si>
  <si>
    <t>Bateau automoteur, &lt; 400 TPL,      /T.km</t>
  </si>
  <si>
    <t>Bateau automoteur, 400 à 649 TPL,      /T.km</t>
  </si>
  <si>
    <t>Bateau automoteur, 650 à 999 TPL,      /T.km</t>
  </si>
  <si>
    <t>Bateau automoteur, 1 000 à 1499 TPL,      /T.km</t>
  </si>
  <si>
    <t>Bateau automoteur, 1 500 à 2 999 TPL,      /T.km</t>
  </si>
  <si>
    <t>Bateau automoteur, &gt; 3 000 TPL,      /T.km</t>
  </si>
  <si>
    <t>Bateau pousseur, &lt; 880 kW,      /T.km</t>
  </si>
  <si>
    <t>Bateau pousseur, &gt; 880 kW,      /T.km</t>
  </si>
  <si>
    <t>Pousseur avec barge(s) de capacité égale ou supérieure à 880 kW (hors transport de conteneurs)
Gazole non routier     /veh.km</t>
  </si>
  <si>
    <t>Ensemble - VP moyen     /p.km</t>
  </si>
  <si>
    <t>1,4 personne par véhicule</t>
  </si>
  <si>
    <t>Voiture, Motorisation E85     /km</t>
  </si>
  <si>
    <t>Voiture, Motorisation essence     /km</t>
  </si>
  <si>
    <t>Voiture, Motorisation gazole     /km</t>
  </si>
  <si>
    <t>Voiture, Motorisation GNV     /km</t>
  </si>
  <si>
    <t>Voiture, Motorisation GPL     /km</t>
  </si>
  <si>
    <t>Voiture, Motorisation moyenne     /km</t>
  </si>
  <si>
    <t>Voiture E85, Courte distance     /p.km</t>
  </si>
  <si>
    <t>Voiture E85, Longue distance     /p.km</t>
  </si>
  <si>
    <t>Voiture E85, Mixte     /p.km</t>
  </si>
  <si>
    <t>Voiture essence, Courte distance     /p.km</t>
  </si>
  <si>
    <t>Voiture essence, Longue distance     /p.km</t>
  </si>
  <si>
    <t>Voiture essence, Mixte     /p.km</t>
  </si>
  <si>
    <t>Voiture gazole, Courte distance     /p.km</t>
  </si>
  <si>
    <t>Voiture gazole, Longue distance     /p.km</t>
  </si>
  <si>
    <t>Voiture gazole, Mixte     /p.km</t>
  </si>
  <si>
    <t>Voiture GNV, Courte distance     /p.km</t>
  </si>
  <si>
    <t>Voiture GNV, Longue distance     /p.km</t>
  </si>
  <si>
    <t>Voiture GNV, Mixte     /p.km</t>
  </si>
  <si>
    <t>Voiture GPL, Courte distance     /p.km</t>
  </si>
  <si>
    <t>Voiture GPL, Longue distance     /p.km</t>
  </si>
  <si>
    <t>Voiture GPL, Mixte     /p.km</t>
  </si>
  <si>
    <t>Voiture moyenne, Courte distance     /p.km</t>
  </si>
  <si>
    <t>Voiture moyenne, Longue distance     /p.km</t>
  </si>
  <si>
    <t>VP, Berline, Hydrogène électrolyse lix EnR décentralisée     /km</t>
  </si>
  <si>
    <t>VP, Berline, Hydrogène électrolyse mix France décentralisée     /km</t>
  </si>
  <si>
    <t>VP, Berline, Hydrogène électrolyse UE décentralisée     /km</t>
  </si>
  <si>
    <t>VP, Berline, Hydrogène SMR biométhane centralisé     /km</t>
  </si>
  <si>
    <t>VP, Berline, Hydrogène SMR GN centralisé     /km</t>
  </si>
  <si>
    <t>VP, Coeur de gamme - Véhicule compact, Electrique     /km</t>
  </si>
  <si>
    <t>VP, Coeur de gamme - Véhicule compact, Hybride rechargeable, plug in-hybrid, P2/prius     /km</t>
  </si>
  <si>
    <t>VP, Coeur de gamme - Véhicule compact, Hybride, full, P2     /km</t>
  </si>
  <si>
    <t>VP, Coeur de gamme - Véhicule compact, Hybride, full, Prius     /km</t>
  </si>
  <si>
    <t>VP, Coeur de gamme - Véhicule compact, Hybride, mild, diesel     /km</t>
  </si>
  <si>
    <t>VP, Coeur de gamme - Véhicule compact, Hybride, mild, essence     /km</t>
  </si>
  <si>
    <t>VP, Entrée de gamme - Véhicule léger, Electrique     /km</t>
  </si>
  <si>
    <t>VP, Entrée de gamme - Véhicule léger, Hybride rechargeable avec alimentation auxilliaire de puissance     /km</t>
  </si>
  <si>
    <t>VP, Entrée de gamme - Véhicule léger, Hybride, mild essence     /km</t>
  </si>
  <si>
    <t>VP, Haut de gamme - Berline, Electrique     /km</t>
  </si>
  <si>
    <t>VP, Haut de gamme - Berline, Hybride rechargeable, plug in-hybrid, P2 / Prius     /km</t>
  </si>
  <si>
    <t>VP, Haut de gamme - Berline, Hybride, full P2     /km</t>
  </si>
  <si>
    <t>VP, Haut de gamme - Berline, Hybride, full Prius     /km</t>
  </si>
  <si>
    <t>VP, Haut de gamme - Berline, Hybride, mild diesel     /km</t>
  </si>
  <si>
    <t>VP, Haut de gamme - Berline, Hybride, mild essence     /km</t>
  </si>
  <si>
    <t>Cyclomoteurs     /km</t>
  </si>
  <si>
    <t>Moto =&lt; 250 cm3           /km</t>
  </si>
  <si>
    <t>Moto &gt; 250 cm3          /km</t>
  </si>
  <si>
    <t>Motocycles =&lt; 250 cm3     /veh.km</t>
  </si>
  <si>
    <t>Motocycles &gt; 250 cm3     /veh.km</t>
  </si>
  <si>
    <t>Trotinnette électrique            /km</t>
  </si>
  <si>
    <t>Durée de vie de la batterie à pleine capacité : 2 ans avec Batterie encore utilisable pendant 2 ans lorsque sa capacité commence à décroitre. Parcours d'un trajet quotidien de 8 km (4 km aller, 4 km retour), 125 jours par an pendant 4 ans soit 4 000km cumulés</t>
  </si>
  <si>
    <t>Vélo à assistance électrique            /km</t>
  </si>
  <si>
    <t>Durée de vie 12 ans. 1 renouvellement de la batterie au cours de la durée de vie du produit. Basé sur le scénario suivant 2500 km par an avec une charge tous les 40 km parcourus et une durée de vie de la batterie pleine charge de 400 charges (le prix d’une batterie peut atteindre 20%-25% du prix d’achat du vélo). Total de 30 000km</t>
  </si>
  <si>
    <t>Train grandes lignes      /p.km</t>
  </si>
  <si>
    <t>Autobus, Electrique           /p.km</t>
  </si>
  <si>
    <t>Autobus, Gazole           /p.km</t>
  </si>
  <si>
    <t>Autobus, GNV           /p.km</t>
  </si>
  <si>
    <t>Autobus, Hybride parallèle           /p.km</t>
  </si>
  <si>
    <t>Autobus, Hybride série           /p.km</t>
  </si>
  <si>
    <t>Autobus moyen, agglomération &lt; 100 000 hab     /p.km</t>
  </si>
  <si>
    <t>Autobus moyen, agglomération 100 000 - 250 000 hab     /p.km</t>
  </si>
  <si>
    <t>Autobus moyen, agglomération &gt; 250 000 hab     /p.km</t>
  </si>
  <si>
    <t>Autocar, gazole     /p.km</t>
  </si>
  <si>
    <t>Métro, tramway, trolleybus, Agglomération &gt; à 250 000 habitants           /p.km</t>
  </si>
  <si>
    <t>Métro, tramway, trolleybus, Agglomération de 100 000 à 250 000 habitants           /p.km</t>
  </si>
  <si>
    <t>Métro - Ile de France           /p.km</t>
  </si>
  <si>
    <t>Télécabine (8 places) Electricité     /p.km</t>
  </si>
  <si>
    <t>Avion passagers, 20-50 sièges, 1000-3500 kms, AVEC trainées     /p.km</t>
  </si>
  <si>
    <t>Avion passagers, 20-50 sièges, 1000-3500 kms, SANS trainées     /p.km</t>
  </si>
  <si>
    <t>Avion passagers, 20-50 sièges, 500-1000 kms, AVEC trainées     /p.km</t>
  </si>
  <si>
    <t>Avion passagers, 20-50 sièges, 500-1000 kms, SANS trainées     /p.km</t>
  </si>
  <si>
    <t>Avion passagers, 20-50 sièges, &lt;500 kms jet, AVEC trainées     /p.km</t>
  </si>
  <si>
    <t>Avion passagers, 20-50 sièges, &lt;500 kms jet, SANS trainées     /p.km</t>
  </si>
  <si>
    <t>Avion passagers, 20-50 sièges, &lt;500 kms turboprop, AVEC trainées     /p.km</t>
  </si>
  <si>
    <t>Avion passagers, 20-50 sièges, &lt;500 kms turboprop, SANS trainées     /p.km</t>
  </si>
  <si>
    <t>Avion passagers, 51-100 sièges, 1000-3500 kms, AVEC trainées     /p.km</t>
  </si>
  <si>
    <t>Avion passagers, 51-100 sièges, 1000-3500 kms, SANS trainées     /p.km</t>
  </si>
  <si>
    <t>Avion passagers, 51-100 sièges, 500-1000 kms, AVEC trainées     /p.km</t>
  </si>
  <si>
    <t>Avion passagers, 51-100 sièges, 500-1000 kms, SANS trainées     /p.km</t>
  </si>
  <si>
    <t>Avion passagers, 51-100 sièges, &lt;500 kms  jet, AVEC trainées     /p.km</t>
  </si>
  <si>
    <t>Avion passagers, 51-100 sièges, &lt;500 kms  jet, SANS trainées     /p.km</t>
  </si>
  <si>
    <t>Avion passagers, 51-100 sièges, &lt;500 kms  turboprop, AVEC trainées     /p.km</t>
  </si>
  <si>
    <t>Avion passagers, 51-100 sièges, &lt;500 kms  turboprop, SANS trainées     /p.km</t>
  </si>
  <si>
    <t>Avion passagers, 101-220 sièges, 1000-3500 kms, AVEC trainées     /p.km</t>
  </si>
  <si>
    <t>Avion passagers, 101-220 sièges, 1000-3500 kms, SANS trainées     /p.km</t>
  </si>
  <si>
    <t>Avion passagers, 101-220 sièges, 500-1000 kms, AVEC trainées     /p.km</t>
  </si>
  <si>
    <t>Avion passagers, 101-220 sièges, 500-1000 kms, SANS trainées     /p.km</t>
  </si>
  <si>
    <t>Avion passagers, 101-220 sièges, &lt;500 kms jet, AVEC trainées     /p.km</t>
  </si>
  <si>
    <t>Avion passagers, 101-220 sièges, &lt;500 kms jet, SANS trainées     /p.km</t>
  </si>
  <si>
    <t>Avion passagers, 101-220 sièges, &gt;3500 kms, AVEC trainées     /p.km</t>
  </si>
  <si>
    <t>Avion passagers, 101-220 sièges, &gt;3500 kms, SANS trainées     /p.km</t>
  </si>
  <si>
    <t>Avion passagers, &gt;220 sièges, 1000-3500 kms, AVEC trainées     /p.km</t>
  </si>
  <si>
    <t>Avion passagers, &gt;220 sièges, 1000-3500 kms, SANS trainées     /p.km</t>
  </si>
  <si>
    <t>Avion passagers, &gt;220 sièges, &gt;3500 kms, AVEC trainées     /p.km</t>
  </si>
  <si>
    <t>Avion passagers, &gt;220 sièges, &gt;3500 kms, SANS trainées     /p.km</t>
  </si>
  <si>
    <t>Avion passagers, Court courrier, AVEC trainées     /p.km</t>
  </si>
  <si>
    <t>Avion passagers, Court courrier, SANS trainées     /p.km</t>
  </si>
  <si>
    <t>Avion passagers, Long courrier, AVEC trainées     /p.km</t>
  </si>
  <si>
    <t>Avion passagers, Long courrier, SANS trainées     /p.km</t>
  </si>
  <si>
    <t>Avion passagers, Moyen courrier, AVEC trainées     /p.km</t>
  </si>
  <si>
    <t>Avion passagers, Moyen courrier, SANS trainées     /p.km</t>
  </si>
  <si>
    <t>60 passagers</t>
  </si>
  <si>
    <t>150 passagers</t>
  </si>
  <si>
    <t>280 passagers</t>
  </si>
  <si>
    <t>Navette fluviale     /p.km</t>
  </si>
  <si>
    <t>Navette inter-îles, Mayotte-Anjouan      /passager.km</t>
  </si>
  <si>
    <t>Navette inter-îles, Petit Terre-Grande Terre      /passager.km</t>
  </si>
  <si>
    <t>Navette inter-îles, Polynésie      /passager.km</t>
  </si>
  <si>
    <t>Ro-Pax, HFO-MGO     /t.km</t>
  </si>
  <si>
    <t>t.km</t>
  </si>
  <si>
    <t>Agglomérés (provenant de houille)      /T</t>
  </si>
  <si>
    <t>Biodiesel, changement d'affectation des sols scénario max     /T</t>
  </si>
  <si>
    <t>Biodiesel, changement d'affectation des sols scénario max     /kWh PCI</t>
  </si>
  <si>
    <t>Biodiesel, changement d'affectation des sols scénario max     /L</t>
  </si>
  <si>
    <t>Biodiesel, changement d'affectation des sols scénario optimiste     /T</t>
  </si>
  <si>
    <t>Biodiesel, changement d'affectation des sols scénario optimiste     /kWh PCI</t>
  </si>
  <si>
    <t>Biodiesel, changement d'affectation des sols scénario optimiste     /L</t>
  </si>
  <si>
    <t>Biodiesel, sans changement d'affectation des sols     /T</t>
  </si>
  <si>
    <t>Biodiesel, sans changement d'affectation des sols     /kWh PCI</t>
  </si>
  <si>
    <t>Biodiesel, sans changement d'affectation des sols     /L</t>
  </si>
  <si>
    <t>Bioéthanol, changement d'affectation des sols scénario max     /T</t>
  </si>
  <si>
    <t>Bioéthanol, changement d'affectation des sols scénario max     /kWh PCI</t>
  </si>
  <si>
    <t>Bioéthanol, changement d'affectation des sols scénario max     /L</t>
  </si>
  <si>
    <t>Bioéthanol, changement d'affectation des sols scénario optimiste     /T</t>
  </si>
  <si>
    <t>Bioéthanol, changement d'affectation des sols scénario optimiste     /kWh PCI</t>
  </si>
  <si>
    <t>Bioéthanol, changement d'affectation des sols scénario optimiste     /L</t>
  </si>
  <si>
    <t>Bioéthanol, sans changement d'affectation des sols     /T</t>
  </si>
  <si>
    <t>Bioéthanol, sans changement d'affectation des sols     /kWh PCI</t>
  </si>
  <si>
    <t>Bioéthanol, sans changement d'affectation des sols     /L</t>
  </si>
  <si>
    <t>Biodiesel, colza (EMHV) sans changement d'affectation des sols     /kWh PCI</t>
  </si>
  <si>
    <t>Biodiesel, colza (EMHV) sans changement d'affectation des sols     /L</t>
  </si>
  <si>
    <t>Bitumes      /GJ PCI</t>
  </si>
  <si>
    <t>GJ PCI</t>
  </si>
  <si>
    <t>Butane maritime     /L</t>
  </si>
  <si>
    <t>Butane maritime     /kWh PCI</t>
  </si>
  <si>
    <t>Carburéacteur large coupe (jet B)     /L</t>
  </si>
  <si>
    <t>Essence à la pompe (SP 95-SP 98)     /L</t>
  </si>
  <si>
    <t>Essence, E 10     /T</t>
  </si>
  <si>
    <t>Essence, E 10     /kWh PCI</t>
  </si>
  <si>
    <t>Essence, E 85     /T</t>
  </si>
  <si>
    <t>Essence, E 85     /kWh PCI</t>
  </si>
  <si>
    <t>Gasoil non routier, France     /kg</t>
  </si>
  <si>
    <t>Gasoil routier B7, France     /L</t>
  </si>
  <si>
    <t>Gasoil routier B30, France     /L</t>
  </si>
  <si>
    <t>Gasoil routier B10, France     /L</t>
  </si>
  <si>
    <t>Gasoil routier B100, France     /L</t>
  </si>
  <si>
    <t>Gaz naturel      /GJ PCI</t>
  </si>
  <si>
    <t>Gaz naturel comprimé pour véhicule routier (GNV)     /kWh PCI</t>
  </si>
  <si>
    <t>Gaz naturel comprimé pour véhicule routier (GNV)     /T</t>
  </si>
  <si>
    <t>Gaz naturel comprimé pour véhicule routier (GNV)     /m3</t>
  </si>
  <si>
    <t>Gaz naturel liquéfié (GNL)     /T</t>
  </si>
  <si>
    <t>Gaz naturel liquéfié (GNL)     /kWh PCI</t>
  </si>
  <si>
    <t>Gazole, B30      /L</t>
  </si>
  <si>
    <t>Gazole routier, B10      /L</t>
  </si>
  <si>
    <t>Gazole routier, B100      /L</t>
  </si>
  <si>
    <t>Gazole routier, B7      /L</t>
  </si>
  <si>
    <t>Heavy fuel oil ISO 8217
Classes RME à RMK     /L</t>
  </si>
  <si>
    <t>Huile de schiste      /GJ PCI</t>
  </si>
  <si>
    <t>Marine diesel oil ISO 8217
Classes DMX à DMB     /L</t>
  </si>
  <si>
    <t>60% diesel, 40% essence</t>
  </si>
  <si>
    <t>Pétrole brut, France     /GJ PCI</t>
  </si>
  <si>
    <t>Pétrole brut, France     /kg</t>
  </si>
  <si>
    <t>Plaquettes forestières @25% hum.     /T</t>
  </si>
  <si>
    <t>Plaquettes forestières @25% hum.     /kWh PCI</t>
  </si>
  <si>
    <t>Pneumatiques usagés     /GJ PCI</t>
  </si>
  <si>
    <t>Consommée en Europe     /kWh</t>
  </si>
  <si>
    <t>Eclairage tertiaire (label E+/C-)     /kWh</t>
  </si>
  <si>
    <t>Eolien terrestre     /kWh</t>
  </si>
  <si>
    <t>Eolien en mer     /kWh</t>
  </si>
  <si>
    <t>Photovoltaïque, fabrication Chine (par défaut)     /kWh</t>
  </si>
  <si>
    <t>Photovoltaïque, fabrication Europe     /kWh</t>
  </si>
  <si>
    <t>Photovoltaïque, fabrication France     /kWh</t>
  </si>
  <si>
    <t>Culture vers forêt          /ha.an</t>
  </si>
  <si>
    <t>Culture vers imperméabilisé         /ha</t>
  </si>
  <si>
    <t>Culture vers prairie         /ha.an</t>
  </si>
  <si>
    <t>Culture vers sols non imperméabilisé         /ha</t>
  </si>
  <si>
    <t>Forêt vers culture         /ha.an</t>
  </si>
  <si>
    <t>Forêt vers imperméabilisé         /ha</t>
  </si>
  <si>
    <t>Forêt vers prairie         /ha.an</t>
  </si>
  <si>
    <t>Forêt vers sols non imperméabilisé         /ha</t>
  </si>
  <si>
    <t>Prairie vers culture         /ha.an</t>
  </si>
  <si>
    <t>Prairie vers forêt         /ha.an</t>
  </si>
  <si>
    <t>Prairie vers imperméabilisé         /ha</t>
  </si>
  <si>
    <t>Prairie vers sols non imperméabilisés         /ha</t>
  </si>
  <si>
    <t>Déblais inertes destinés au stockage définitif          /T</t>
  </si>
  <si>
    <t>Aluminium</t>
  </si>
  <si>
    <t>Emissions évitées par la valorisation énergétique : -850 kgeqCO2/T</t>
  </si>
  <si>
    <t>Céramiques et autres inertes</t>
  </si>
  <si>
    <t>Matériaux non dangereux destinés au stockage</t>
  </si>
  <si>
    <t>Ordures ménagères résiduelles</t>
  </si>
  <si>
    <t>Emissions évitées par le CET (biogaz et stockage) : -216 kgeqCO2/T</t>
  </si>
  <si>
    <t>Emissions évitées par la valorisation énergétique : -212 kgeqCO2/T</t>
  </si>
  <si>
    <t>Emissions évitées par le recyclage : -8432 kgeqCO2/T</t>
  </si>
  <si>
    <t>Emissions évitées par le recyclage : -379 kgeqCO2/T</t>
  </si>
  <si>
    <t>Fraisats issus du chantier</t>
  </si>
  <si>
    <t>Plastique rigide PE     /T</t>
  </si>
  <si>
    <t>Emissions évitées par le recyclage : -1142 kgeqCO2/T</t>
  </si>
  <si>
    <t>Plastique rigide PET     /T</t>
  </si>
  <si>
    <t>Emissions évitées par le recyclage : -1741 kgeqCO2/T</t>
  </si>
  <si>
    <t>Plastique rigide PP     /T</t>
  </si>
  <si>
    <t>Emissions évitées par le recyclage : -1306 kgeqCO2/T</t>
  </si>
  <si>
    <t>Plastique souple PE      /T</t>
  </si>
  <si>
    <t>Emissions évitées par le recyclage : -1128 kgeqCO2/T</t>
  </si>
  <si>
    <t>Emissions évitées par le recyclage : -1158 kgeqCO2/T</t>
  </si>
  <si>
    <t>DIS - Stockage</t>
  </si>
  <si>
    <t>Fraisats contenant de l'amiante</t>
  </si>
  <si>
    <t>kgCO2/m3</t>
  </si>
  <si>
    <t>Densité des matériaux</t>
  </si>
  <si>
    <t>Densité</t>
  </si>
  <si>
    <t>Source</t>
  </si>
  <si>
    <t>1,9 T/m3</t>
  </si>
  <si>
    <t>Mathieu Rousseau</t>
  </si>
  <si>
    <t xml:space="preserve">Chaussée </t>
  </si>
  <si>
    <t>2,35 T/m3</t>
  </si>
  <si>
    <t xml:space="preserve">Terre végétale </t>
  </si>
  <si>
    <t>1,2 T/m3</t>
  </si>
  <si>
    <t xml:space="preserve">Déblais </t>
  </si>
  <si>
    <t>2 T/m3</t>
  </si>
  <si>
    <t>Grave Ciment</t>
  </si>
  <si>
    <t>1,85 T/m3</t>
  </si>
  <si>
    <t>Outil RFF</t>
  </si>
  <si>
    <t>Béton Bitumineux</t>
  </si>
  <si>
    <t>1,8 T/m3</t>
  </si>
  <si>
    <t>Grave/Sable</t>
  </si>
  <si>
    <t>Ciment</t>
  </si>
  <si>
    <t>3,15 T/m3</t>
  </si>
  <si>
    <t>Béton (sans armatures)</t>
  </si>
  <si>
    <t>2,2 T/m3</t>
  </si>
  <si>
    <t>Acier/Fonte</t>
  </si>
  <si>
    <t>7,9 T/m3</t>
  </si>
  <si>
    <t>Cuivre</t>
  </si>
  <si>
    <t>8,9 T/m3</t>
  </si>
  <si>
    <t>2,7 T/m3</t>
  </si>
  <si>
    <t>PVC</t>
  </si>
  <si>
    <t>1,4 T/m3</t>
  </si>
  <si>
    <t>PE</t>
  </si>
  <si>
    <t>0,95 T/m3</t>
  </si>
  <si>
    <t>PP</t>
  </si>
  <si>
    <t>0,9 T/m3</t>
  </si>
  <si>
    <t>Bois (brut ou structurel)</t>
  </si>
  <si>
    <t>0,45 T/m3</t>
  </si>
  <si>
    <t>Bois aggloméré</t>
  </si>
  <si>
    <t>0,68 T/m3</t>
  </si>
  <si>
    <t>Béton armé</t>
  </si>
  <si>
    <t>2,5 T/m3</t>
  </si>
  <si>
    <t>Wikipédia</t>
  </si>
  <si>
    <t>Eléments OA</t>
  </si>
  <si>
    <t>Elément</t>
  </si>
  <si>
    <t>Nombre</t>
  </si>
  <si>
    <t>Ratio d'armature en fondation pour des bâtiments</t>
  </si>
  <si>
    <t>60 kg/m3</t>
  </si>
  <si>
    <t>Ratio d'armature en fondation pour des OA</t>
  </si>
  <si>
    <t>100-180 kg/m3</t>
  </si>
  <si>
    <t>Bentonite</t>
  </si>
  <si>
    <t>Polyéthylène basse densité</t>
  </si>
  <si>
    <t>Grave Bitume (GB)</t>
  </si>
  <si>
    <t>Béton bitumineux étanche (BBE)</t>
  </si>
  <si>
    <t>Béton bitumineux semi-grenu (BBSG)</t>
  </si>
  <si>
    <t>Géomembrane bitumineuse (GMBB)</t>
  </si>
  <si>
    <t>Enrobé bitumineux ouvert fibré (EBOF)</t>
  </si>
  <si>
    <t>Enrobé à Froid (EFr)</t>
  </si>
  <si>
    <t>Matelas à perméabilité dégradée (MAT)</t>
  </si>
  <si>
    <t>Géomembrane PVC (GMB-PVC)</t>
  </si>
  <si>
    <t>Carroi argileux</t>
  </si>
  <si>
    <t>Enrochement</t>
  </si>
  <si>
    <t>Matelas Béton (MAT)</t>
  </si>
  <si>
    <t>Géotextile de Protection et / de Séparation</t>
  </si>
  <si>
    <t>Polyéthylène haute densité</t>
  </si>
  <si>
    <t>Béton courant</t>
  </si>
  <si>
    <t>Béton haute performance (C60/75 XF1 CEMI)     /m3</t>
  </si>
  <si>
    <t>Acier galvanisé</t>
  </si>
  <si>
    <t>Approvisionnements</t>
  </si>
  <si>
    <t>3. Traitement des sols</t>
  </si>
  <si>
    <t>Etanchéité</t>
  </si>
  <si>
    <t>Ouvrage d'art et écluses</t>
  </si>
  <si>
    <t>teqCO3</t>
  </si>
  <si>
    <t>teqCO4</t>
  </si>
  <si>
    <t>teqCO5</t>
  </si>
  <si>
    <t>teqCO6</t>
  </si>
  <si>
    <t>teqCO7</t>
  </si>
  <si>
    <t>teqCO8</t>
  </si>
  <si>
    <t>teqCO9</t>
  </si>
  <si>
    <t>teqCO10</t>
  </si>
  <si>
    <t>teqCO11</t>
  </si>
  <si>
    <t>teqCO12</t>
  </si>
  <si>
    <t>teqCO13</t>
  </si>
  <si>
    <t>teqCO14</t>
  </si>
  <si>
    <t>teqCO15</t>
  </si>
  <si>
    <t>teqCO16</t>
  </si>
  <si>
    <t>teqCO17</t>
  </si>
  <si>
    <t>Chaux pour limon traité</t>
  </si>
  <si>
    <t>Liant pour limon traité</t>
  </si>
  <si>
    <t>Terrassements</t>
  </si>
  <si>
    <t xml:space="preserve">4. Béton </t>
  </si>
  <si>
    <t>5. Acier</t>
  </si>
  <si>
    <t>6.Matériaux pour Etanchéité</t>
  </si>
  <si>
    <t>Commentaire / hypothèse utilisée</t>
  </si>
  <si>
    <t>facteur d'emission en unité BPU (si différent)</t>
  </si>
  <si>
    <t>Base vie</t>
  </si>
  <si>
    <t>7 Energie consommée sur site / Base vie</t>
  </si>
  <si>
    <t>Gaz</t>
  </si>
  <si>
    <t>Energie électrique solaire produite sur place</t>
  </si>
  <si>
    <t>8. Déplacement domicile travail</t>
  </si>
  <si>
    <t>kgCO2/passager.km</t>
  </si>
  <si>
    <t>kgCO2/veh.km</t>
  </si>
  <si>
    <t>déplacements en train</t>
  </si>
  <si>
    <t>déplacements en voiture</t>
  </si>
  <si>
    <t>Autre (à préciser)</t>
  </si>
  <si>
    <t>déplacement en avion</t>
  </si>
  <si>
    <t>déplacements en autocar</t>
  </si>
  <si>
    <t xml:space="preserve">Autocar, gazole </t>
  </si>
  <si>
    <t>SUIVI TRAVAUX</t>
  </si>
  <si>
    <t>GNR</t>
  </si>
  <si>
    <t>9 Fret - Evacuation des matériaux</t>
  </si>
  <si>
    <t>Sorties du chantier</t>
  </si>
  <si>
    <t>entre C25/30 et C35/45</t>
  </si>
  <si>
    <t>Numéro de marché</t>
  </si>
  <si>
    <t>Période des émissions</t>
  </si>
  <si>
    <t>de</t>
  </si>
  <si>
    <t>à</t>
  </si>
  <si>
    <t xml:space="preserve">Toupie </t>
  </si>
  <si>
    <t>Béton C30/37</t>
  </si>
  <si>
    <t>Béton C25/30</t>
  </si>
  <si>
    <t>Béton de proprété C16/20</t>
  </si>
  <si>
    <t>Béton C35/45</t>
  </si>
  <si>
    <t>Béton C45/55</t>
  </si>
  <si>
    <t>Petit Béton préfabriqué</t>
  </si>
  <si>
    <t>Béton préfabriqué non usuel</t>
  </si>
  <si>
    <t>Béton C40/50</t>
  </si>
  <si>
    <t>Acier structures métalliques S235-S960</t>
  </si>
  <si>
    <t>Acier HA Armatures passives de béton armé</t>
  </si>
  <si>
    <t>Acier type Palplanche</t>
  </si>
  <si>
    <t>A</t>
  </si>
  <si>
    <t>MOA</t>
  </si>
  <si>
    <t>AMO</t>
  </si>
  <si>
    <t>Vérifié</t>
  </si>
  <si>
    <t>Approuvé</t>
  </si>
  <si>
    <t>Emission du document</t>
  </si>
  <si>
    <t>Table des diffusions</t>
  </si>
  <si>
    <t>Référence propre à l'émetteur (Référence Externe)</t>
  </si>
  <si>
    <t xml:space="preserve">Cadre de suivi du bilan carbonne </t>
  </si>
  <si>
    <t>DCEN</t>
  </si>
  <si>
    <t>JUDQ</t>
  </si>
  <si>
    <t>SCHE</t>
  </si>
  <si>
    <t>EGCD</t>
  </si>
  <si>
    <t>B131</t>
  </si>
  <si>
    <t>C</t>
  </si>
  <si>
    <t>CSNE_</t>
  </si>
  <si>
    <t>0001-00</t>
  </si>
  <si>
    <t>GWET</t>
  </si>
  <si>
    <t>LCAM</t>
  </si>
  <si>
    <t>Pierre THELLIER</t>
  </si>
  <si>
    <t>Charlène CARON</t>
  </si>
  <si>
    <t>Marché n°B131
Marché de prestations d’aménagement des mesures compensatoires et de petits terrassements des sites hors DUP du CSNE</t>
  </si>
  <si>
    <t>B131 Lot 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</si>
</sst>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 ###,##0;\-\ #\ ###\ ##0;&quot; - &quot;"/>
    <numFmt numFmtId="165" formatCode="_-* #,##0.00\ _€_-;\-* #,##0.00\ _€_-;_-* &quot;-&quot;??\ _€_-;_-@_-"/>
    <numFmt numFmtId="166" formatCode="_-* #,##0\ _€_-;\-* #,##0\ _€_-;_-* &quot;-&quot;??\ _€_-;_-@_-"/>
    <numFmt numFmtId="167" formatCode="#,##0.0"/>
    <numFmt numFmtId="168" formatCode="0.0"/>
    <numFmt numFmtId="169" formatCode="#,##0_ ;\-#,##0\ "/>
    <numFmt numFmtId="170" formatCode="0.000"/>
    <numFmt numFmtId="171" formatCode="0.0000"/>
    <numFmt numFmtId="172" formatCode="#,##0.00\ [$T]"/>
    <numFmt numFmtId="173" formatCode="_-* #,##0.0\ _€_-;\-* #,##0.0\ _€_-;_-* &quot;-&quot;?\ _€_-;_-@_-"/>
    <numFmt numFmtId="174" formatCode="#,##0.000"/>
  </numFmts>
  <fonts count="41">
    <font>
      <sz val="11"/>
      <color theme="1"/>
      <name val="Arial"/>
      <family val="2"/>
      <scheme val="minor"/>
    </font>
    <font>
      <sz val="8"/>
      <name val="Arial"/>
      <family val="2"/>
    </font>
    <font>
      <b/>
      <sz val="11"/>
      <color theme="1"/>
      <name val="Arial"/>
      <family val="2"/>
      <scheme val="minor"/>
    </font>
    <font>
      <sz val="14"/>
      <color theme="1"/>
      <name val="Arial"/>
      <family val="2"/>
      <scheme val="minor"/>
    </font>
    <font>
      <sz val="12"/>
      <color theme="1"/>
      <name val="Arial"/>
      <family val="2"/>
      <scheme val="minor"/>
    </font>
    <font>
      <sz val="14"/>
      <color theme="6"/>
      <name val="Arial"/>
      <family val="2"/>
      <scheme val="major"/>
    </font>
    <font>
      <b/>
      <sz val="9"/>
      <color rgb="FF404040"/>
      <name val="Arial"/>
      <family val="2"/>
      <scheme val="minor"/>
    </font>
    <font>
      <b/>
      <sz val="8"/>
      <name val="Arial"/>
      <family val="2"/>
      <scheme val="minor"/>
    </font>
    <font>
      <b/>
      <sz val="10"/>
      <color rgb="FF404040"/>
      <name val="Arial"/>
      <family val="2"/>
      <scheme val="minor"/>
    </font>
    <font>
      <sz val="10"/>
      <color rgb="FF404040"/>
      <name val="Arial"/>
      <family val="2"/>
      <scheme val="minor"/>
    </font>
    <font>
      <sz val="10"/>
      <color theme="1"/>
      <name val="Arial"/>
      <family val="2"/>
      <scheme val="minor"/>
    </font>
    <font>
      <sz val="12"/>
      <color theme="0"/>
      <name val="Arial"/>
      <family val="2"/>
      <scheme val="minor"/>
    </font>
    <font>
      <b/>
      <sz val="14"/>
      <color theme="1"/>
      <name val="Arial"/>
      <family val="2"/>
      <scheme val="minor"/>
    </font>
    <font>
      <b/>
      <sz val="12"/>
      <color theme="1"/>
      <name val="Arial"/>
      <family val="2"/>
      <scheme val="minor"/>
    </font>
    <font>
      <b/>
      <sz val="12"/>
      <color theme="0"/>
      <name val="Arial"/>
      <family val="2"/>
      <scheme val="minor"/>
    </font>
    <font>
      <b/>
      <sz val="12"/>
      <name val="Arial"/>
      <family val="2"/>
      <scheme val="minor"/>
    </font>
    <font>
      <b/>
      <sz val="16"/>
      <color theme="1"/>
      <name val="Arial"/>
      <family val="2"/>
      <scheme val="minor"/>
    </font>
    <font>
      <sz val="9"/>
      <name val="Geneva"/>
    </font>
    <font>
      <sz val="12"/>
      <name val="Arial"/>
      <family val="2"/>
      <scheme val="minor"/>
    </font>
    <font>
      <i/>
      <sz val="12"/>
      <color theme="1"/>
      <name val="Arial"/>
      <family val="2"/>
      <scheme val="minor"/>
    </font>
    <font>
      <b/>
      <sz val="48"/>
      <color theme="0"/>
      <name val="Arial"/>
      <family val="2"/>
      <scheme val="minor"/>
    </font>
    <font>
      <sz val="28"/>
      <color theme="1"/>
      <name val="Arial"/>
      <family val="2"/>
      <scheme val="minor"/>
    </font>
    <font>
      <sz val="8"/>
      <name val="Arial"/>
      <family val="2"/>
      <scheme val="minor"/>
    </font>
    <font>
      <b/>
      <sz val="11"/>
      <color theme="0"/>
      <name val="Arial"/>
      <family val="2"/>
      <scheme val="minor"/>
    </font>
    <font>
      <b/>
      <i/>
      <sz val="12"/>
      <color theme="0"/>
      <name val="Arial"/>
      <family val="2"/>
      <scheme val="minor"/>
    </font>
    <font>
      <b/>
      <sz val="16"/>
      <color theme="0"/>
      <name val="Arial"/>
      <family val="2"/>
      <scheme val="minor"/>
    </font>
    <font>
      <b/>
      <sz val="18"/>
      <color theme="1"/>
      <name val="Arial"/>
      <family val="2"/>
      <scheme val="minor"/>
    </font>
    <font>
      <b/>
      <sz val="48"/>
      <name val="Arial"/>
      <family val="2"/>
      <scheme val="minor"/>
    </font>
    <font>
      <b/>
      <u/>
      <sz val="16"/>
      <name val="Arial"/>
      <family val="2"/>
      <scheme val="minor"/>
    </font>
    <font>
      <b/>
      <sz val="18"/>
      <name val="Arial"/>
      <family val="2"/>
      <scheme val="minor"/>
    </font>
    <font>
      <sz val="11"/>
      <color theme="1"/>
      <name val="Arial"/>
      <family val="2"/>
      <scheme val="minor"/>
    </font>
    <font>
      <b/>
      <sz val="20"/>
      <color theme="1"/>
      <name val="Arial"/>
      <family val="2"/>
      <scheme val="minor"/>
    </font>
    <font>
      <sz val="16"/>
      <name val="Arial"/>
      <family val="2"/>
      <scheme val="minor"/>
    </font>
    <font>
      <b/>
      <u/>
      <sz val="20"/>
      <color theme="1"/>
      <name val="Arial"/>
      <family val="2"/>
      <scheme val="minor"/>
    </font>
    <font>
      <u/>
      <sz val="9"/>
      <color indexed="12"/>
      <name val="Geneva"/>
    </font>
    <font>
      <sz val="20"/>
      <color theme="1"/>
      <name val="Arial"/>
      <family val="2"/>
    </font>
    <font>
      <b/>
      <sz val="18"/>
      <color rgb="FF00549A"/>
      <name val="Arial"/>
      <family val="2"/>
      <scheme val="minor"/>
    </font>
    <font>
      <b/>
      <sz val="16"/>
      <color theme="1" tint="0.249977111117893"/>
      <name val="Arial"/>
      <family val="2"/>
      <scheme val="minor"/>
    </font>
    <font>
      <sz val="16"/>
      <color theme="1"/>
      <name val="Arial"/>
      <family val="2"/>
      <scheme val="minor"/>
    </font>
    <font>
      <sz val="14"/>
      <color theme="1"/>
      <name val="Arial"/>
      <family val="2"/>
    </font>
    <font>
      <sz val="18"/>
      <color theme="1"/>
      <name val="Arial"/>
      <family val="2"/>
    </font>
  </fonts>
  <fills count="13">
    <fill>
      <patternFill patternType="none"/>
    </fill>
    <fill>
      <patternFill patternType="gray125"/>
    </fill>
    <fill>
      <patternFill patternType="solid">
        <fgColor theme="0"/>
        <bgColor indexed="64"/>
      </patternFill>
    </fill>
    <fill>
      <patternFill patternType="solid">
        <fgColor rgb="FFF4BFB9"/>
        <bgColor indexed="64"/>
      </patternFill>
    </fill>
    <fill>
      <patternFill patternType="solid">
        <fgColor rgb="FFFFFF00"/>
        <bgColor indexed="64"/>
      </patternFill>
    </fill>
    <fill>
      <patternFill patternType="solid">
        <fgColor theme="1" tint="0.39997558519241921"/>
        <bgColor indexed="64"/>
      </patternFill>
    </fill>
    <fill>
      <patternFill patternType="solid">
        <fgColor theme="9"/>
        <bgColor indexed="64"/>
      </patternFill>
    </fill>
    <fill>
      <patternFill patternType="solid">
        <fgColor theme="3"/>
        <bgColor indexed="64"/>
      </patternFill>
    </fill>
    <fill>
      <patternFill patternType="solid">
        <fgColor theme="6" tint="0.79998168889431442"/>
        <bgColor indexed="64"/>
      </patternFill>
    </fill>
    <fill>
      <patternFill patternType="solid">
        <fgColor theme="6" tint="0.79998168889431442"/>
        <bgColor theme="4" tint="0.79998168889431442"/>
      </patternFill>
    </fill>
    <fill>
      <patternFill patternType="solid">
        <fgColor theme="5" tint="0.79998168889431442"/>
        <bgColor indexed="64"/>
      </patternFill>
    </fill>
    <fill>
      <patternFill patternType="solid">
        <fgColor theme="0" tint="-0.249977111117893"/>
        <bgColor indexed="64"/>
      </patternFill>
    </fill>
    <fill>
      <patternFill patternType="solid">
        <fgColor theme="9" tint="0.59999389629810485"/>
        <bgColor indexed="64"/>
      </patternFill>
    </fill>
  </fills>
  <borders count="50">
    <border>
      <left/>
      <right/>
      <top/>
      <bottom/>
      <diagonal/>
    </border>
    <border>
      <left/>
      <right style="dotted">
        <color theme="0" tint="-0.499984740745262"/>
      </right>
      <top/>
      <bottom style="dashed">
        <color theme="0" tint="-0.499984740745262"/>
      </bottom>
      <diagonal/>
    </border>
    <border>
      <left style="dotted">
        <color theme="0" tint="-0.499984740745262"/>
      </left>
      <right style="dotted">
        <color theme="0" tint="-0.499984740745262"/>
      </right>
      <top/>
      <bottom style="dashed">
        <color theme="0" tint="-0.499984740745262"/>
      </bottom>
      <diagonal/>
    </border>
    <border>
      <left/>
      <right/>
      <top/>
      <bottom style="dashed">
        <color theme="0" tint="-0.499984740745262"/>
      </bottom>
      <diagonal/>
    </border>
    <border>
      <left style="dotted">
        <color theme="0" tint="-0.499984740745262"/>
      </left>
      <right/>
      <top/>
      <bottom style="dashed">
        <color theme="0" tint="-0.499984740745262"/>
      </bottom>
      <diagonal/>
    </border>
    <border>
      <left/>
      <right style="dotted">
        <color theme="0" tint="-0.499984740745262"/>
      </right>
      <top style="dashed">
        <color theme="0" tint="-0.499984740745262"/>
      </top>
      <bottom style="dashed">
        <color theme="0" tint="-0.499984740745262"/>
      </bottom>
      <diagonal/>
    </border>
    <border>
      <left style="dotted">
        <color theme="0" tint="-0.499984740745262"/>
      </left>
      <right style="dotted">
        <color theme="0" tint="-0.499984740745262"/>
      </right>
      <top style="dashed">
        <color theme="0" tint="-0.499984740745262"/>
      </top>
      <bottom style="dashed">
        <color theme="0" tint="-0.499984740745262"/>
      </bottom>
      <diagonal/>
    </border>
    <border>
      <left/>
      <right/>
      <top style="dashed">
        <color theme="0" tint="-0.499984740745262"/>
      </top>
      <bottom style="dashed">
        <color theme="0" tint="-0.499984740745262"/>
      </bottom>
      <diagonal/>
    </border>
    <border>
      <left style="dotted">
        <color theme="0" tint="-0.499984740745262"/>
      </left>
      <right/>
      <top style="dashed">
        <color theme="0" tint="-0.499984740745262"/>
      </top>
      <bottom style="dashed">
        <color theme="0" tint="-0.499984740745262"/>
      </bottom>
      <diagonal/>
    </border>
    <border>
      <left/>
      <right style="dotted">
        <color theme="0" tint="-0.499984740745262"/>
      </right>
      <top style="dashed">
        <color theme="0" tint="-0.499984740745262"/>
      </top>
      <bottom/>
      <diagonal/>
    </border>
    <border>
      <left style="dotted">
        <color theme="0" tint="-0.499984740745262"/>
      </left>
      <right style="dotted">
        <color theme="0" tint="-0.499984740745262"/>
      </right>
      <top style="dashed">
        <color theme="0" tint="-0.499984740745262"/>
      </top>
      <bottom/>
      <diagonal/>
    </border>
    <border>
      <left/>
      <right/>
      <top style="dashed">
        <color theme="0" tint="-0.499984740745262"/>
      </top>
      <bottom/>
      <diagonal/>
    </border>
    <border>
      <left/>
      <right/>
      <top/>
      <bottom style="thin">
        <color theme="6"/>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bottom style="dashed">
        <color auto="1"/>
      </bottom>
      <diagonal/>
    </border>
    <border>
      <left/>
      <right/>
      <top/>
      <bottom style="dash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dashed">
        <color theme="0" tint="-0.34998626667073579"/>
      </right>
      <top/>
      <bottom style="dotted">
        <color theme="1" tint="0.249977111117893"/>
      </bottom>
      <diagonal/>
    </border>
    <border>
      <left style="dashed">
        <color theme="0" tint="-0.34998626667073579"/>
      </left>
      <right style="dashed">
        <color theme="0" tint="-0.34998626667073579"/>
      </right>
      <top/>
      <bottom style="dotted">
        <color theme="1" tint="0.249977111117893"/>
      </bottom>
      <diagonal/>
    </border>
    <border>
      <left style="dashed">
        <color theme="0" tint="-0.34998626667073579"/>
      </left>
      <right/>
      <top/>
      <bottom style="dotted">
        <color theme="1" tint="0.249977111117893"/>
      </bottom>
      <diagonal/>
    </border>
    <border>
      <left/>
      <right style="dotted">
        <color theme="0" tint="-0.34998626667073579"/>
      </right>
      <top/>
      <bottom style="dotted">
        <color theme="0" tint="-0.34998626667073579"/>
      </bottom>
      <diagonal/>
    </border>
    <border>
      <left style="dotted">
        <color theme="0" tint="-0.34998626667073579"/>
      </left>
      <right style="dotted">
        <color theme="0" tint="-0.34998626667073579"/>
      </right>
      <top/>
      <bottom style="dotted">
        <color theme="0" tint="-0.34998626667073579"/>
      </bottom>
      <diagonal/>
    </border>
    <border>
      <left style="dotted">
        <color theme="0" tint="-0.34998626667073579"/>
      </left>
      <right/>
      <top/>
      <bottom style="dotted">
        <color theme="0" tint="-0.34998626667073579"/>
      </bottom>
      <diagonal/>
    </border>
    <border>
      <left/>
      <right style="dotted">
        <color theme="0" tint="-0.34998626667073579"/>
      </right>
      <top style="dotted">
        <color theme="0" tint="-0.34998626667073579"/>
      </top>
      <bottom style="dotted">
        <color theme="0" tint="-0.34998626667073579"/>
      </bottom>
      <diagonal/>
    </border>
    <border>
      <left style="dotted">
        <color theme="0" tint="-0.34998626667073579"/>
      </left>
      <right style="dotted">
        <color theme="0" tint="-0.34998626667073579"/>
      </right>
      <top style="dotted">
        <color theme="0" tint="-0.34998626667073579"/>
      </top>
      <bottom style="dotted">
        <color theme="0" tint="-0.34998626667073579"/>
      </bottom>
      <diagonal/>
    </border>
    <border>
      <left style="dotted">
        <color theme="0" tint="-0.34998626667073579"/>
      </left>
      <right/>
      <top style="dotted">
        <color theme="0" tint="-0.34998626667073579"/>
      </top>
      <bottom style="dotted">
        <color theme="0" tint="-0.34998626667073579"/>
      </bottom>
      <diagonal/>
    </border>
    <border>
      <left/>
      <right style="dotted">
        <color theme="0" tint="-0.34998626667073579"/>
      </right>
      <top style="dotted">
        <color theme="0" tint="-0.34998626667073579"/>
      </top>
      <bottom/>
      <diagonal/>
    </border>
    <border>
      <left style="dotted">
        <color theme="0" tint="-0.34998626667073579"/>
      </left>
      <right style="dotted">
        <color theme="0" tint="-0.34998626667073579"/>
      </right>
      <top style="dotted">
        <color theme="0" tint="-0.34998626667073579"/>
      </top>
      <bottom/>
      <diagonal/>
    </border>
    <border>
      <left style="dotted">
        <color theme="0" tint="-0.34998626667073579"/>
      </left>
      <right/>
      <top style="dotted">
        <color theme="0" tint="-0.34998626667073579"/>
      </top>
      <bottom/>
      <diagonal/>
    </border>
    <border>
      <left style="dotted">
        <color theme="0" tint="-0.499984740745262"/>
      </left>
      <right/>
      <top style="dashed">
        <color theme="0" tint="-0.499984740745262"/>
      </top>
      <bottom/>
      <diagonal/>
    </border>
    <border>
      <left/>
      <right/>
      <top style="dotted">
        <color theme="0" tint="-0.34998626667073579"/>
      </top>
      <bottom/>
      <diagonal/>
    </border>
    <border>
      <left/>
      <right/>
      <top/>
      <bottom style="dotted">
        <color theme="0" tint="-0.34998626667073579"/>
      </bottom>
      <diagonal/>
    </border>
  </borders>
  <cellStyleXfs count="18">
    <xf numFmtId="0" fontId="0" fillId="0" borderId="0"/>
    <xf numFmtId="0" fontId="4" fillId="0" borderId="0"/>
    <xf numFmtId="0" fontId="17" fillId="0" borderId="0"/>
    <xf numFmtId="165" fontId="4" fillId="0" borderId="0" applyFont="0" applyFill="0" applyBorder="0" applyAlignment="0" applyProtection="0"/>
    <xf numFmtId="3" fontId="17" fillId="0" borderId="0" applyFont="0" applyFill="0" applyBorder="0" applyAlignment="0" applyProtection="0"/>
    <xf numFmtId="9" fontId="4" fillId="0" borderId="0" applyFont="0" applyFill="0" applyBorder="0" applyAlignment="0" applyProtection="0"/>
    <xf numFmtId="9" fontId="17" fillId="0" borderId="0" applyFont="0" applyFill="0" applyBorder="0" applyAlignment="0" applyProtection="0"/>
    <xf numFmtId="9" fontId="4" fillId="0" borderId="0" applyFont="0" applyFill="0" applyBorder="0" applyAlignment="0" applyProtection="0"/>
    <xf numFmtId="0" fontId="4" fillId="0" borderId="0"/>
    <xf numFmtId="0" fontId="30" fillId="0" borderId="0"/>
    <xf numFmtId="43" fontId="30" fillId="0" borderId="0" applyFont="0" applyFill="0" applyBorder="0" applyAlignment="0" applyProtection="0"/>
    <xf numFmtId="9" fontId="4" fillId="0" borderId="0" applyFont="0" applyFill="0" applyBorder="0" applyAlignment="0" applyProtection="0"/>
    <xf numFmtId="0" fontId="10" fillId="0" borderId="0"/>
    <xf numFmtId="43" fontId="10" fillId="0" borderId="0" applyFont="0" applyFill="0" applyBorder="0" applyAlignment="0" applyProtection="0"/>
    <xf numFmtId="43" fontId="30" fillId="0" borderId="0" applyFont="0" applyFill="0" applyBorder="0" applyAlignment="0" applyProtection="0"/>
    <xf numFmtId="0" fontId="34" fillId="0" borderId="0" applyNumberFormat="0" applyFill="0" applyBorder="0" applyAlignment="0" applyProtection="0">
      <alignment vertical="top"/>
      <protection locked="0"/>
    </xf>
    <xf numFmtId="0" fontId="30" fillId="0" borderId="0"/>
    <xf numFmtId="43" fontId="30" fillId="0" borderId="0" applyFont="0" applyFill="0" applyBorder="0" applyAlignment="0" applyProtection="0"/>
  </cellStyleXfs>
  <cellXfs count="232">
    <xf numFmtId="0" fontId="0" fillId="0" borderId="0" xfId="0"/>
    <xf numFmtId="0" fontId="2" fillId="0" borderId="0" xfId="0" applyFont="1" applyAlignment="1">
      <alignment horizontal="right"/>
    </xf>
    <xf numFmtId="0" fontId="4" fillId="0" borderId="0" xfId="0" applyFont="1" applyAlignment="1">
      <alignment horizontal="right"/>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4" fillId="0" borderId="0" xfId="1"/>
    <xf numFmtId="0" fontId="4" fillId="0" borderId="0" xfId="1" applyAlignment="1">
      <alignment vertical="center"/>
    </xf>
    <xf numFmtId="3" fontId="4" fillId="0" borderId="0" xfId="1" applyNumberFormat="1"/>
    <xf numFmtId="0" fontId="4" fillId="0" borderId="15" xfId="1" applyBorder="1"/>
    <xf numFmtId="164" fontId="4" fillId="3" borderId="15" xfId="1" applyNumberFormat="1" applyFill="1" applyBorder="1" applyAlignment="1">
      <alignment vertical="center"/>
    </xf>
    <xf numFmtId="0" fontId="4" fillId="0" borderId="0" xfId="1" applyAlignment="1">
      <alignment horizontal="left" vertical="center"/>
    </xf>
    <xf numFmtId="0" fontId="16" fillId="3" borderId="16" xfId="1" applyFont="1" applyFill="1" applyBorder="1" applyAlignment="1">
      <alignment vertical="center"/>
    </xf>
    <xf numFmtId="0" fontId="4" fillId="3" borderId="14" xfId="1" applyFill="1" applyBorder="1"/>
    <xf numFmtId="0" fontId="4" fillId="3" borderId="14" xfId="1" applyFill="1" applyBorder="1" applyAlignment="1">
      <alignment vertical="center"/>
    </xf>
    <xf numFmtId="0" fontId="4" fillId="3" borderId="17" xfId="1" applyFill="1" applyBorder="1" applyAlignment="1">
      <alignment vertical="center" wrapText="1"/>
    </xf>
    <xf numFmtId="0" fontId="4" fillId="3" borderId="0" xfId="1" applyFill="1" applyAlignment="1">
      <alignment vertical="center"/>
    </xf>
    <xf numFmtId="0" fontId="4" fillId="3" borderId="0" xfId="1" applyFill="1"/>
    <xf numFmtId="0" fontId="4" fillId="3" borderId="0" xfId="1" applyFill="1" applyAlignment="1">
      <alignment horizontal="center" vertical="center"/>
    </xf>
    <xf numFmtId="0" fontId="4" fillId="3" borderId="17" xfId="1" applyFill="1" applyBorder="1"/>
    <xf numFmtId="3" fontId="4" fillId="2" borderId="15" xfId="1" applyNumberFormat="1" applyFill="1" applyBorder="1" applyAlignment="1">
      <alignment vertical="center"/>
    </xf>
    <xf numFmtId="3" fontId="12" fillId="3" borderId="15" xfId="1" applyNumberFormat="1" applyFont="1" applyFill="1" applyBorder="1" applyAlignment="1">
      <alignment vertical="center"/>
    </xf>
    <xf numFmtId="0" fontId="12" fillId="3" borderId="15" xfId="1" applyFont="1" applyFill="1" applyBorder="1" applyAlignment="1">
      <alignment vertical="center"/>
    </xf>
    <xf numFmtId="0" fontId="10" fillId="2" borderId="15" xfId="1" applyFont="1" applyFill="1" applyBorder="1" applyAlignment="1">
      <alignment vertical="center" wrapText="1"/>
    </xf>
    <xf numFmtId="0" fontId="4" fillId="3" borderId="15" xfId="1" applyFill="1" applyBorder="1" applyAlignment="1">
      <alignment vertical="center" wrapText="1"/>
    </xf>
    <xf numFmtId="0" fontId="4" fillId="3" borderId="22" xfId="1" applyFill="1" applyBorder="1" applyAlignment="1">
      <alignment vertical="center"/>
    </xf>
    <xf numFmtId="0" fontId="4" fillId="3" borderId="15" xfId="1" applyFill="1" applyBorder="1" applyAlignment="1">
      <alignment vertical="center"/>
    </xf>
    <xf numFmtId="0" fontId="13" fillId="3" borderId="24" xfId="1" applyFont="1" applyFill="1" applyBorder="1" applyAlignment="1">
      <alignment horizontal="center" vertical="center" wrapText="1"/>
    </xf>
    <xf numFmtId="0" fontId="13" fillId="3" borderId="15" xfId="1" applyFont="1" applyFill="1" applyBorder="1" applyAlignment="1">
      <alignment horizontal="center" vertical="center" wrapText="1"/>
    </xf>
    <xf numFmtId="0" fontId="4" fillId="3" borderId="27" xfId="1" applyFill="1" applyBorder="1"/>
    <xf numFmtId="0" fontId="4" fillId="3" borderId="28" xfId="1" applyFill="1" applyBorder="1"/>
    <xf numFmtId="0" fontId="4" fillId="3" borderId="28" xfId="1" applyFill="1" applyBorder="1" applyAlignment="1">
      <alignment vertical="center"/>
    </xf>
    <xf numFmtId="0" fontId="13" fillId="3" borderId="15" xfId="1" applyFont="1" applyFill="1" applyBorder="1" applyAlignment="1">
      <alignment vertical="center" wrapText="1"/>
    </xf>
    <xf numFmtId="4" fontId="4" fillId="2" borderId="15" xfId="1" applyNumberFormat="1" applyFill="1" applyBorder="1" applyAlignment="1">
      <alignment vertical="center"/>
    </xf>
    <xf numFmtId="167" fontId="4" fillId="2" borderId="15" xfId="1" applyNumberFormat="1" applyFill="1" applyBorder="1" applyAlignment="1">
      <alignment vertical="center"/>
    </xf>
    <xf numFmtId="0" fontId="4" fillId="2" borderId="0" xfId="1" applyFill="1" applyAlignment="1">
      <alignment vertical="center" wrapText="1"/>
    </xf>
    <xf numFmtId="0" fontId="4" fillId="0" borderId="15" xfId="1" applyBorder="1" applyAlignment="1">
      <alignment vertical="center" wrapText="1"/>
    </xf>
    <xf numFmtId="3" fontId="4" fillId="0" borderId="15" xfId="1" applyNumberFormat="1" applyBorder="1"/>
    <xf numFmtId="9" fontId="0" fillId="0" borderId="0" xfId="5" applyFont="1"/>
    <xf numFmtId="0" fontId="4" fillId="2" borderId="0" xfId="1" applyFill="1" applyAlignment="1">
      <alignment horizontal="left" vertical="center"/>
    </xf>
    <xf numFmtId="0" fontId="14" fillId="2" borderId="0" xfId="1" applyFont="1" applyFill="1" applyAlignment="1">
      <alignment horizontal="left" vertical="center"/>
    </xf>
    <xf numFmtId="0" fontId="11" fillId="2" borderId="0" xfId="1" applyFont="1" applyFill="1" applyAlignment="1">
      <alignment horizontal="left" vertical="center"/>
    </xf>
    <xf numFmtId="0" fontId="21" fillId="0" borderId="0" xfId="1" applyFont="1" applyAlignment="1">
      <alignment horizontal="center"/>
    </xf>
    <xf numFmtId="0" fontId="24" fillId="6" borderId="15" xfId="1" applyFont="1" applyFill="1" applyBorder="1" applyAlignment="1">
      <alignment vertical="center"/>
    </xf>
    <xf numFmtId="0" fontId="25" fillId="7" borderId="15" xfId="1" applyFont="1" applyFill="1" applyBorder="1" applyAlignment="1">
      <alignment vertical="center"/>
    </xf>
    <xf numFmtId="0" fontId="23" fillId="7" borderId="15" xfId="1" applyFont="1" applyFill="1" applyBorder="1" applyAlignment="1">
      <alignment vertical="center" wrapText="1"/>
    </xf>
    <xf numFmtId="9" fontId="25" fillId="7" borderId="15" xfId="5" applyFont="1" applyFill="1" applyBorder="1" applyAlignment="1">
      <alignment vertical="center"/>
    </xf>
    <xf numFmtId="0" fontId="4" fillId="6" borderId="15" xfId="1" applyFill="1" applyBorder="1"/>
    <xf numFmtId="9" fontId="0" fillId="6" borderId="15" xfId="5" applyFont="1" applyFill="1" applyBorder="1"/>
    <xf numFmtId="9" fontId="0" fillId="0" borderId="15" xfId="5" applyFont="1" applyBorder="1"/>
    <xf numFmtId="2" fontId="4" fillId="0" borderId="15" xfId="1" applyNumberFormat="1" applyBorder="1"/>
    <xf numFmtId="9" fontId="19" fillId="0" borderId="15" xfId="5" applyFont="1" applyBorder="1"/>
    <xf numFmtId="1" fontId="4" fillId="0" borderId="15" xfId="1" applyNumberFormat="1" applyBorder="1"/>
    <xf numFmtId="0" fontId="4" fillId="0" borderId="15" xfId="1" applyBorder="1" applyAlignment="1">
      <alignment wrapText="1"/>
    </xf>
    <xf numFmtId="0" fontId="4" fillId="4" borderId="15" xfId="1" applyFill="1" applyBorder="1"/>
    <xf numFmtId="9" fontId="0" fillId="4" borderId="15" xfId="5" applyFont="1" applyFill="1" applyBorder="1"/>
    <xf numFmtId="0" fontId="4" fillId="0" borderId="25" xfId="1" applyBorder="1"/>
    <xf numFmtId="169" fontId="0" fillId="0" borderId="15" xfId="3" applyNumberFormat="1" applyFont="1" applyBorder="1"/>
    <xf numFmtId="9" fontId="4" fillId="0" borderId="15" xfId="1" applyNumberFormat="1" applyBorder="1"/>
    <xf numFmtId="0" fontId="4" fillId="0" borderId="15" xfId="1" quotePrefix="1" applyBorder="1"/>
    <xf numFmtId="170" fontId="4" fillId="0" borderId="15" xfId="1" applyNumberFormat="1" applyBorder="1"/>
    <xf numFmtId="171" fontId="4" fillId="0" borderId="15" xfId="1" applyNumberFormat="1" applyBorder="1"/>
    <xf numFmtId="172" fontId="4" fillId="0" borderId="15" xfId="1" applyNumberFormat="1" applyBorder="1"/>
    <xf numFmtId="168" fontId="4" fillId="0" borderId="0" xfId="1" applyNumberFormat="1"/>
    <xf numFmtId="0" fontId="3" fillId="0" borderId="0" xfId="1" applyFont="1" applyAlignment="1">
      <alignment horizontal="center" vertical="center"/>
    </xf>
    <xf numFmtId="0" fontId="4" fillId="2" borderId="0" xfId="1" applyFill="1"/>
    <xf numFmtId="0" fontId="20" fillId="2" borderId="0" xfId="1" applyFont="1" applyFill="1" applyAlignment="1">
      <alignment horizontal="center" vertical="top" textRotation="90" wrapText="1"/>
    </xf>
    <xf numFmtId="0" fontId="26" fillId="2" borderId="0" xfId="1" applyFont="1" applyFill="1"/>
    <xf numFmtId="0" fontId="4" fillId="2" borderId="0" xfId="1" applyFill="1" applyAlignment="1">
      <alignment vertical="center"/>
    </xf>
    <xf numFmtId="0" fontId="4" fillId="2" borderId="18" xfId="1" applyFill="1" applyBorder="1"/>
    <xf numFmtId="0" fontId="4" fillId="2" borderId="26" xfId="1" applyFill="1" applyBorder="1" applyAlignment="1">
      <alignment horizontal="center" vertical="center"/>
    </xf>
    <xf numFmtId="0" fontId="18" fillId="2" borderId="0" xfId="1" applyFont="1" applyFill="1" applyAlignment="1">
      <alignment horizontal="center" vertical="center"/>
    </xf>
    <xf numFmtId="0" fontId="28" fillId="2" borderId="0" xfId="1" applyFont="1" applyFill="1" applyAlignment="1">
      <alignment horizontal="center" vertical="center"/>
    </xf>
    <xf numFmtId="0" fontId="15" fillId="2" borderId="0" xfId="1" applyFont="1" applyFill="1" applyAlignment="1">
      <alignment horizontal="center" vertical="center"/>
    </xf>
    <xf numFmtId="0" fontId="29" fillId="2" borderId="0" xfId="1" applyFont="1" applyFill="1" applyAlignment="1">
      <alignment horizontal="center" vertical="center"/>
    </xf>
    <xf numFmtId="0" fontId="4" fillId="2" borderId="15" xfId="1" applyFill="1" applyBorder="1"/>
    <xf numFmtId="0" fontId="0" fillId="3" borderId="23" xfId="2" applyFont="1" applyFill="1" applyBorder="1" applyAlignment="1">
      <alignment vertical="center" wrapText="1"/>
    </xf>
    <xf numFmtId="0" fontId="0" fillId="3" borderId="20" xfId="2" applyFont="1" applyFill="1" applyBorder="1" applyAlignment="1">
      <alignment vertical="center" wrapText="1"/>
    </xf>
    <xf numFmtId="165" fontId="0" fillId="3" borderId="21" xfId="2" applyNumberFormat="1" applyFont="1" applyFill="1" applyBorder="1" applyAlignment="1">
      <alignment vertical="center" wrapText="1"/>
    </xf>
    <xf numFmtId="0" fontId="4" fillId="2" borderId="18" xfId="1" applyFill="1" applyBorder="1" applyAlignment="1">
      <alignment vertical="center" wrapText="1"/>
    </xf>
    <xf numFmtId="3" fontId="26" fillId="3" borderId="15" xfId="1" applyNumberFormat="1" applyFont="1" applyFill="1" applyBorder="1" applyAlignment="1">
      <alignment vertical="center"/>
    </xf>
    <xf numFmtId="0" fontId="26" fillId="3" borderId="15" xfId="1" applyFont="1" applyFill="1" applyBorder="1" applyAlignment="1">
      <alignment vertical="center"/>
    </xf>
    <xf numFmtId="0" fontId="31" fillId="2" borderId="0" xfId="1" applyFont="1" applyFill="1" applyAlignment="1">
      <alignment horizontal="left" vertical="center"/>
    </xf>
    <xf numFmtId="0" fontId="32" fillId="0" borderId="17" xfId="1" applyFont="1" applyBorder="1" applyAlignment="1">
      <alignment horizontal="left" vertical="center"/>
    </xf>
    <xf numFmtId="0" fontId="32" fillId="0" borderId="0" xfId="1" applyFont="1" applyAlignment="1">
      <alignment horizontal="left" vertical="center" wrapText="1"/>
    </xf>
    <xf numFmtId="0" fontId="33" fillId="2" borderId="0" xfId="1" applyFont="1" applyFill="1"/>
    <xf numFmtId="3" fontId="13" fillId="3" borderId="15" xfId="1" applyNumberFormat="1" applyFont="1" applyFill="1" applyBorder="1" applyAlignment="1">
      <alignment horizontal="center" vertical="center" wrapText="1"/>
    </xf>
    <xf numFmtId="0" fontId="13" fillId="3" borderId="19" xfId="1" applyFont="1" applyFill="1" applyBorder="1" applyAlignment="1">
      <alignment horizontal="center" vertical="center"/>
    </xf>
    <xf numFmtId="0" fontId="13" fillId="3" borderId="26" xfId="1" applyFont="1" applyFill="1" applyBorder="1" applyAlignment="1">
      <alignment horizontal="center" vertical="center"/>
    </xf>
    <xf numFmtId="0" fontId="13" fillId="3" borderId="20" xfId="1" applyFont="1" applyFill="1" applyBorder="1" applyAlignment="1">
      <alignment horizontal="center" vertical="center"/>
    </xf>
    <xf numFmtId="0" fontId="13" fillId="3" borderId="19" xfId="1" applyFont="1" applyFill="1" applyBorder="1" applyAlignment="1">
      <alignment horizontal="center" vertical="center" wrapText="1"/>
    </xf>
    <xf numFmtId="0" fontId="13" fillId="3" borderId="20" xfId="1" applyFont="1" applyFill="1" applyBorder="1" applyAlignment="1">
      <alignment horizontal="center" vertical="center" wrapText="1"/>
    </xf>
    <xf numFmtId="0" fontId="4" fillId="3" borderId="15" xfId="1" applyFill="1" applyBorder="1" applyAlignment="1">
      <alignment horizontal="center" vertical="center" wrapText="1"/>
    </xf>
    <xf numFmtId="170" fontId="4" fillId="0" borderId="15" xfId="1" applyNumberFormat="1" applyBorder="1" applyAlignment="1">
      <alignment vertical="center"/>
    </xf>
    <xf numFmtId="2" fontId="4" fillId="2" borderId="15" xfId="1" applyNumberFormat="1" applyFill="1" applyBorder="1" applyAlignment="1">
      <alignment vertical="center"/>
    </xf>
    <xf numFmtId="166" fontId="4" fillId="0" borderId="15" xfId="1" applyNumberFormat="1" applyBorder="1" applyAlignment="1">
      <alignment vertical="center"/>
    </xf>
    <xf numFmtId="174" fontId="4" fillId="2" borderId="15" xfId="1" applyNumberFormat="1" applyFill="1" applyBorder="1" applyAlignment="1">
      <alignment vertical="center"/>
    </xf>
    <xf numFmtId="0" fontId="4" fillId="8" borderId="15" xfId="1" applyFill="1" applyBorder="1"/>
    <xf numFmtId="2" fontId="4" fillId="8" borderId="15" xfId="1" applyNumberFormat="1" applyFill="1" applyBorder="1"/>
    <xf numFmtId="9" fontId="0" fillId="8" borderId="15" xfId="5" applyFont="1" applyFill="1" applyBorder="1"/>
    <xf numFmtId="0" fontId="4" fillId="8" borderId="0" xfId="1" applyFill="1"/>
    <xf numFmtId="9" fontId="19" fillId="8" borderId="15" xfId="5" applyFont="1" applyFill="1" applyBorder="1"/>
    <xf numFmtId="2" fontId="4" fillId="8" borderId="0" xfId="1" applyNumberFormat="1" applyFill="1"/>
    <xf numFmtId="0" fontId="0" fillId="8" borderId="15" xfId="15" applyNumberFormat="1" applyFont="1" applyFill="1" applyBorder="1" applyAlignment="1" applyProtection="1"/>
    <xf numFmtId="0" fontId="0" fillId="8" borderId="0" xfId="15" applyFont="1" applyFill="1" applyAlignment="1" applyProtection="1"/>
    <xf numFmtId="9" fontId="13" fillId="8" borderId="15" xfId="1" applyNumberFormat="1" applyFont="1" applyFill="1" applyBorder="1"/>
    <xf numFmtId="0" fontId="4" fillId="8" borderId="15" xfId="1" applyFill="1" applyBorder="1" applyAlignment="1">
      <alignment vertical="center" wrapText="1"/>
    </xf>
    <xf numFmtId="0" fontId="4" fillId="8" borderId="15" xfId="1" applyFill="1" applyBorder="1" applyAlignment="1">
      <alignment wrapText="1"/>
    </xf>
    <xf numFmtId="2" fontId="4" fillId="2" borderId="15" xfId="1" applyNumberFormat="1" applyFill="1" applyBorder="1"/>
    <xf numFmtId="9" fontId="19" fillId="2" borderId="15" xfId="5" applyFont="1" applyFill="1" applyBorder="1"/>
    <xf numFmtId="0" fontId="0" fillId="8" borderId="15" xfId="15" applyFont="1" applyFill="1" applyBorder="1" applyAlignment="1" applyProtection="1"/>
    <xf numFmtId="169" fontId="0" fillId="8" borderId="15" xfId="3" applyNumberFormat="1" applyFont="1" applyFill="1" applyBorder="1"/>
    <xf numFmtId="170" fontId="4" fillId="8" borderId="15" xfId="1" applyNumberFormat="1" applyFill="1" applyBorder="1"/>
    <xf numFmtId="3" fontId="4" fillId="8" borderId="15" xfId="1" applyNumberFormat="1" applyFill="1" applyBorder="1"/>
    <xf numFmtId="0" fontId="4" fillId="9" borderId="15" xfId="1" applyFill="1" applyBorder="1"/>
    <xf numFmtId="170" fontId="4" fillId="9" borderId="15" xfId="1" applyNumberFormat="1" applyFill="1" applyBorder="1"/>
    <xf numFmtId="171" fontId="4" fillId="8" borderId="15" xfId="1" applyNumberFormat="1" applyFill="1" applyBorder="1"/>
    <xf numFmtId="9" fontId="4" fillId="8" borderId="15" xfId="1" applyNumberFormat="1" applyFill="1" applyBorder="1"/>
    <xf numFmtId="9" fontId="0" fillId="9" borderId="15" xfId="5" applyFont="1" applyFill="1" applyBorder="1"/>
    <xf numFmtId="172" fontId="4" fillId="8" borderId="15" xfId="1" applyNumberFormat="1" applyFill="1" applyBorder="1"/>
    <xf numFmtId="1" fontId="4" fillId="8" borderId="0" xfId="1" applyNumberFormat="1" applyFill="1"/>
    <xf numFmtId="9" fontId="4" fillId="8" borderId="15" xfId="5" applyFont="1" applyFill="1" applyBorder="1"/>
    <xf numFmtId="0" fontId="4" fillId="10" borderId="15" xfId="1" applyFill="1" applyBorder="1"/>
    <xf numFmtId="2" fontId="4" fillId="10" borderId="15" xfId="1" applyNumberFormat="1" applyFill="1" applyBorder="1"/>
    <xf numFmtId="9" fontId="0" fillId="10" borderId="15" xfId="5" applyFont="1" applyFill="1" applyBorder="1"/>
    <xf numFmtId="0" fontId="4" fillId="10" borderId="0" xfId="1" applyFill="1"/>
    <xf numFmtId="9" fontId="19" fillId="0" borderId="15" xfId="5" applyFont="1" applyFill="1" applyBorder="1"/>
    <xf numFmtId="168" fontId="4" fillId="8" borderId="15" xfId="1" applyNumberFormat="1" applyFill="1" applyBorder="1"/>
    <xf numFmtId="0" fontId="30" fillId="0" borderId="0" xfId="16"/>
    <xf numFmtId="0" fontId="2" fillId="0" borderId="15" xfId="16" applyFont="1" applyBorder="1"/>
    <xf numFmtId="0" fontId="30" fillId="0" borderId="15" xfId="16" applyBorder="1"/>
    <xf numFmtId="0" fontId="30" fillId="0" borderId="0" xfId="16" applyAlignment="1">
      <alignment wrapText="1"/>
    </xf>
    <xf numFmtId="0" fontId="30" fillId="0" borderId="0" xfId="16" applyAlignment="1">
      <alignment horizontal="left" vertical="center"/>
    </xf>
    <xf numFmtId="4" fontId="4" fillId="0" borderId="15" xfId="1" applyNumberFormat="1" applyBorder="1"/>
    <xf numFmtId="4" fontId="4" fillId="0" borderId="15" xfId="1" applyNumberFormat="1" applyBorder="1" applyAlignment="1">
      <alignment vertical="center"/>
    </xf>
    <xf numFmtId="0" fontId="27" fillId="2" borderId="0" xfId="1" applyFont="1" applyFill="1" applyAlignment="1">
      <alignment horizontal="center" vertical="center" textRotation="90" wrapText="1"/>
    </xf>
    <xf numFmtId="0" fontId="13" fillId="3" borderId="0" xfId="1" applyFont="1" applyFill="1" applyAlignment="1">
      <alignment horizontal="center" vertical="center"/>
    </xf>
    <xf numFmtId="0" fontId="4" fillId="0" borderId="15" xfId="1" applyBorder="1" applyAlignment="1">
      <alignment vertical="center"/>
    </xf>
    <xf numFmtId="0" fontId="4" fillId="3" borderId="0" xfId="1" applyFill="1" applyAlignment="1">
      <alignment vertical="center" wrapText="1"/>
    </xf>
    <xf numFmtId="0" fontId="4" fillId="3" borderId="0" xfId="1" applyFill="1" applyAlignment="1">
      <alignment horizontal="center" vertical="center" wrapText="1"/>
    </xf>
    <xf numFmtId="166" fontId="4" fillId="0" borderId="0" xfId="1" applyNumberFormat="1" applyAlignment="1">
      <alignment vertical="center"/>
    </xf>
    <xf numFmtId="165" fontId="0" fillId="3" borderId="0" xfId="2" applyNumberFormat="1" applyFont="1" applyFill="1" applyAlignment="1">
      <alignment vertical="center" wrapText="1"/>
    </xf>
    <xf numFmtId="0" fontId="0" fillId="3" borderId="0" xfId="2" applyFont="1" applyFill="1" applyAlignment="1">
      <alignment vertical="center" wrapText="1"/>
    </xf>
    <xf numFmtId="4" fontId="4" fillId="0" borderId="0" xfId="1" applyNumberFormat="1" applyAlignment="1">
      <alignment vertical="center"/>
    </xf>
    <xf numFmtId="0" fontId="10" fillId="2" borderId="0" xfId="1" applyFont="1" applyFill="1" applyAlignment="1">
      <alignment vertical="center" wrapText="1"/>
    </xf>
    <xf numFmtId="166" fontId="4" fillId="3" borderId="0" xfId="1" applyNumberFormat="1" applyFill="1" applyAlignment="1">
      <alignment vertical="center"/>
    </xf>
    <xf numFmtId="0" fontId="4" fillId="3" borderId="0" xfId="1" applyFill="1" applyAlignment="1">
      <alignment horizontal="center"/>
    </xf>
    <xf numFmtId="43" fontId="10" fillId="2" borderId="15" xfId="17" applyFont="1" applyFill="1" applyBorder="1" applyAlignment="1">
      <alignment vertical="center" wrapText="1"/>
    </xf>
    <xf numFmtId="0" fontId="18" fillId="11" borderId="0" xfId="1" applyFont="1" applyFill="1" applyAlignment="1">
      <alignment horizontal="left" vertical="center"/>
    </xf>
    <xf numFmtId="0" fontId="18" fillId="11" borderId="0" xfId="1" applyFont="1" applyFill="1" applyAlignment="1">
      <alignment horizontal="right" vertical="center"/>
    </xf>
    <xf numFmtId="14" fontId="15" fillId="12" borderId="0" xfId="1" applyNumberFormat="1" applyFont="1" applyFill="1" applyAlignment="1">
      <alignment horizontal="center" vertical="center"/>
    </xf>
    <xf numFmtId="0" fontId="15" fillId="12" borderId="0" xfId="1" applyFont="1" applyFill="1" applyAlignment="1">
      <alignment horizontal="center" vertical="center"/>
    </xf>
    <xf numFmtId="165" fontId="4" fillId="0" borderId="15" xfId="1" applyNumberFormat="1" applyBorder="1" applyAlignment="1">
      <alignment vertical="center"/>
    </xf>
    <xf numFmtId="166" fontId="4" fillId="0" borderId="15" xfId="1" applyNumberFormat="1" applyBorder="1" applyAlignment="1">
      <alignment horizontal="center" vertical="center"/>
    </xf>
    <xf numFmtId="0" fontId="4" fillId="0" borderId="15" xfId="1" applyBorder="1" applyAlignment="1">
      <alignment horizontal="center" vertical="center" wrapText="1"/>
    </xf>
    <xf numFmtId="0" fontId="10" fillId="0" borderId="15" xfId="1" applyFont="1" applyBorder="1" applyAlignment="1">
      <alignment vertical="center" wrapText="1"/>
    </xf>
    <xf numFmtId="2" fontId="4" fillId="0" borderId="15" xfId="1" applyNumberFormat="1" applyBorder="1" applyAlignment="1">
      <alignment horizontal="right" vertical="center"/>
    </xf>
    <xf numFmtId="173" fontId="4" fillId="0" borderId="15" xfId="1" applyNumberFormat="1" applyBorder="1" applyAlignment="1">
      <alignment vertical="center"/>
    </xf>
    <xf numFmtId="3" fontId="4" fillId="0" borderId="15" xfId="1" applyNumberFormat="1" applyBorder="1" applyAlignment="1">
      <alignment vertical="center"/>
    </xf>
    <xf numFmtId="0" fontId="35" fillId="0" borderId="0" xfId="0" applyFont="1" applyAlignment="1">
      <alignment vertical="center"/>
    </xf>
    <xf numFmtId="0" fontId="35" fillId="0" borderId="0" xfId="0" applyFont="1" applyAlignment="1">
      <alignment horizontal="right"/>
    </xf>
    <xf numFmtId="0" fontId="36" fillId="0" borderId="0" xfId="0" applyFont="1" applyAlignment="1">
      <alignment vertical="center"/>
    </xf>
    <xf numFmtId="0" fontId="37" fillId="0" borderId="0" xfId="0" applyFont="1" applyAlignment="1">
      <alignment vertical="center"/>
    </xf>
    <xf numFmtId="0" fontId="39" fillId="0" borderId="0" xfId="0" applyFont="1"/>
    <xf numFmtId="0" fontId="0" fillId="0" borderId="0" xfId="0" applyAlignment="1">
      <alignment horizontal="right"/>
    </xf>
    <xf numFmtId="0" fontId="39" fillId="0" borderId="0" xfId="0" applyFont="1" applyAlignment="1">
      <alignment vertical="center"/>
    </xf>
    <xf numFmtId="0" fontId="39" fillId="0" borderId="0" xfId="0" applyFont="1" applyAlignment="1">
      <alignment horizontal="right" vertical="center"/>
    </xf>
    <xf numFmtId="0" fontId="40" fillId="0" borderId="0" xfId="0" applyFont="1" applyAlignment="1">
      <alignment vertical="center"/>
    </xf>
    <xf numFmtId="0" fontId="3" fillId="0" borderId="0" xfId="0" applyFont="1" applyAlignment="1">
      <alignment horizontal="right"/>
    </xf>
    <xf numFmtId="0" fontId="36" fillId="0" borderId="0" xfId="0" applyFont="1" applyAlignment="1">
      <alignment horizontal="center" vertical="center" wrapText="1"/>
    </xf>
    <xf numFmtId="0" fontId="36" fillId="0" borderId="0" xfId="0" applyFont="1" applyAlignment="1">
      <alignment horizontal="center" vertical="center"/>
    </xf>
    <xf numFmtId="0" fontId="37" fillId="0" borderId="0" xfId="0" applyFont="1" applyAlignment="1">
      <alignment horizontal="center" vertical="center"/>
    </xf>
    <xf numFmtId="0" fontId="5" fillId="0" borderId="12" xfId="0" applyFont="1" applyBorder="1" applyAlignment="1">
      <alignment horizontal="left"/>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43"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2" xfId="0" applyFont="1" applyBorder="1" applyAlignment="1">
      <alignment horizontal="center" vertical="center" wrapText="1"/>
    </xf>
    <xf numFmtId="14" fontId="9" fillId="0" borderId="39" xfId="0" applyNumberFormat="1" applyFont="1" applyBorder="1" applyAlignment="1">
      <alignment horizontal="center" vertical="center" wrapText="1"/>
    </xf>
    <xf numFmtId="14" fontId="9" fillId="0" borderId="42" xfId="0" applyNumberFormat="1"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14" fontId="9" fillId="0" borderId="45" xfId="0" applyNumberFormat="1" applyFont="1" applyBorder="1" applyAlignment="1">
      <alignment horizontal="center" vertical="center" wrapText="1"/>
    </xf>
    <xf numFmtId="0" fontId="9" fillId="0" borderId="45" xfId="0" applyFont="1" applyBorder="1" applyAlignment="1">
      <alignment horizontal="center" vertical="center" wrapText="1"/>
    </xf>
    <xf numFmtId="0" fontId="9" fillId="0" borderId="46" xfId="0" applyFont="1" applyBorder="1" applyAlignment="1">
      <alignment horizontal="center" vertical="center" wrapText="1"/>
    </xf>
    <xf numFmtId="0" fontId="38" fillId="0" borderId="0" xfId="0" applyFont="1" applyAlignment="1">
      <alignment horizontal="right" vertical="center"/>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14" fontId="10" fillId="0" borderId="47" xfId="0" applyNumberFormat="1" applyFont="1" applyBorder="1" applyAlignment="1">
      <alignment horizontal="left"/>
    </xf>
    <xf numFmtId="0" fontId="10" fillId="0" borderId="11" xfId="0" applyFont="1" applyBorder="1" applyAlignment="1">
      <alignment horizontal="left"/>
    </xf>
    <xf numFmtId="0" fontId="0" fillId="0" borderId="46" xfId="0" applyBorder="1" applyAlignment="1">
      <alignment horizontal="center"/>
    </xf>
    <xf numFmtId="0" fontId="0" fillId="0" borderId="48" xfId="0" applyBorder="1" applyAlignment="1">
      <alignment horizontal="center"/>
    </xf>
    <xf numFmtId="0" fontId="0" fillId="0" borderId="44" xfId="0" applyBorder="1" applyAlignment="1">
      <alignment horizontal="center"/>
    </xf>
    <xf numFmtId="0" fontId="0" fillId="0" borderId="40" xfId="0" applyBorder="1" applyAlignment="1">
      <alignment horizontal="center"/>
    </xf>
    <xf numFmtId="0" fontId="0" fillId="0" borderId="49" xfId="0" applyBorder="1" applyAlignment="1">
      <alignment horizontal="center"/>
    </xf>
    <xf numFmtId="0" fontId="0" fillId="0" borderId="38" xfId="0" applyBorder="1" applyAlignment="1">
      <alignment horizontal="center"/>
    </xf>
    <xf numFmtId="0" fontId="7" fillId="0" borderId="13" xfId="0" applyFont="1" applyBorder="1" applyAlignment="1">
      <alignment horizontal="center" vertical="center" wrapText="1"/>
    </xf>
    <xf numFmtId="0" fontId="1" fillId="0" borderId="13" xfId="0" applyFont="1" applyBorder="1" applyAlignment="1">
      <alignment horizontal="center" vertical="center" wrapText="1"/>
    </xf>
    <xf numFmtId="49" fontId="1" fillId="0" borderId="13" xfId="0" applyNumberFormat="1" applyFont="1" applyBorder="1" applyAlignment="1">
      <alignment horizontal="center" vertical="center" wrapText="1"/>
    </xf>
    <xf numFmtId="0" fontId="27" fillId="2" borderId="32" xfId="1" applyFont="1" applyFill="1" applyBorder="1" applyAlignment="1">
      <alignment horizontal="center" vertical="center" textRotation="90" wrapText="1"/>
    </xf>
    <xf numFmtId="0" fontId="27" fillId="2" borderId="33" xfId="1" applyFont="1" applyFill="1" applyBorder="1" applyAlignment="1">
      <alignment horizontal="center" vertical="center" textRotation="90" wrapText="1"/>
    </xf>
    <xf numFmtId="0" fontId="27" fillId="2" borderId="34" xfId="1" applyFont="1" applyFill="1" applyBorder="1" applyAlignment="1">
      <alignment horizontal="center" vertical="center" textRotation="90" wrapText="1"/>
    </xf>
    <xf numFmtId="0" fontId="13" fillId="3" borderId="19" xfId="1" applyFont="1" applyFill="1" applyBorder="1" applyAlignment="1">
      <alignment horizontal="center" vertical="center" wrapText="1"/>
    </xf>
    <xf numFmtId="0" fontId="13" fillId="3" borderId="20" xfId="1" applyFont="1" applyFill="1" applyBorder="1" applyAlignment="1">
      <alignment horizontal="center" vertical="center" wrapText="1"/>
    </xf>
    <xf numFmtId="0" fontId="13" fillId="3" borderId="19" xfId="1" applyFont="1" applyFill="1" applyBorder="1" applyAlignment="1">
      <alignment horizontal="center" vertical="center"/>
    </xf>
    <xf numFmtId="0" fontId="13" fillId="3" borderId="26" xfId="1" applyFont="1" applyFill="1" applyBorder="1" applyAlignment="1">
      <alignment horizontal="center" vertical="center"/>
    </xf>
    <xf numFmtId="0" fontId="13" fillId="3" borderId="20" xfId="1" applyFont="1" applyFill="1" applyBorder="1" applyAlignment="1">
      <alignment horizontal="center" vertical="center"/>
    </xf>
    <xf numFmtId="0" fontId="14" fillId="5" borderId="0" xfId="1" applyFont="1" applyFill="1" applyAlignment="1">
      <alignment horizontal="center" vertical="center"/>
    </xf>
    <xf numFmtId="0" fontId="2" fillId="0" borderId="29" xfId="16" applyFont="1" applyBorder="1" applyAlignment="1">
      <alignment horizontal="center"/>
    </xf>
    <xf numFmtId="0" fontId="2" fillId="0" borderId="30" xfId="16" applyFont="1" applyBorder="1" applyAlignment="1">
      <alignment horizontal="center"/>
    </xf>
    <xf numFmtId="0" fontId="2" fillId="0" borderId="31" xfId="16" applyFont="1" applyBorder="1" applyAlignment="1">
      <alignment horizontal="center"/>
    </xf>
  </cellXfs>
  <cellStyles count="18">
    <cellStyle name="Lien hypertexte 2" xfId="15" xr:uid="{28568584-C95B-4AAD-A900-9F18236ECE41}"/>
    <cellStyle name="Milliers" xfId="17" builtinId="3"/>
    <cellStyle name="Milliers 2" xfId="3" xr:uid="{85BD3542-BA8D-474B-91A0-2EDA276C913F}"/>
    <cellStyle name="Milliers 3" xfId="4" xr:uid="{2AB6BE33-419D-4040-A27B-EDB1F40EF311}"/>
    <cellStyle name="Milliers 4" xfId="14" xr:uid="{EA73BBAF-F0EB-4891-9B7B-CE4D957F812A}"/>
    <cellStyle name="Milliers 5" xfId="13" xr:uid="{66387381-C45A-423F-84E3-C0DEA3851EE4}"/>
    <cellStyle name="Milliers 9" xfId="10" xr:uid="{581B1142-88B5-4B66-8003-9A829559D628}"/>
    <cellStyle name="Normal" xfId="0" builtinId="0"/>
    <cellStyle name="Normal 16" xfId="9" xr:uid="{B12841A1-A85D-4B5F-9108-7B65DA4AFBFA}"/>
    <cellStyle name="Normal 2" xfId="1" xr:uid="{6224A04D-4F43-42B4-8BCE-987750C2C75E}"/>
    <cellStyle name="Normal 2 5" xfId="8" xr:uid="{6B342062-4686-490C-A99B-623223CBD307}"/>
    <cellStyle name="Normal 3" xfId="2" xr:uid="{C1EB0D86-80B5-434F-96C3-7C0BF8FAF771}"/>
    <cellStyle name="Normal 4" xfId="12" xr:uid="{A663C633-04BD-4367-B4AC-69B13DC4E8AC}"/>
    <cellStyle name="Normal 7" xfId="16" xr:uid="{A32A9E63-C389-451A-948F-37325723E5D9}"/>
    <cellStyle name="Pourcentage 2" xfId="5" xr:uid="{43FFB066-38AB-4244-A70E-00F6589B5099}"/>
    <cellStyle name="Pourcentage 2 2" xfId="6" xr:uid="{4EB49458-9619-4E75-9D85-1C6795B7959D}"/>
    <cellStyle name="Pourcentage 2 5" xfId="11" xr:uid="{F6F94157-93A4-47AD-9814-0AE4B91CE755}"/>
    <cellStyle name="Pourcentage 3 2" xfId="7" xr:uid="{033A1E2F-EE2D-4CE2-BA21-3FD0EB4373A3}"/>
  </cellStyles>
  <dxfs count="0"/>
  <tableStyles count="0" defaultTableStyle="TableStyleMedium2" defaultPivotStyle="PivotStyleLight16"/>
  <colors>
    <mruColors>
      <color rgb="FFF4BFB9"/>
      <color rgb="FFFCD5B4"/>
      <color rgb="FF43BD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121920</xdr:colOff>
      <xdr:row>3</xdr:row>
      <xdr:rowOff>144780</xdr:rowOff>
    </xdr:from>
    <xdr:to>
      <xdr:col>12</xdr:col>
      <xdr:colOff>68580</xdr:colOff>
      <xdr:row>10</xdr:row>
      <xdr:rowOff>7620</xdr:rowOff>
    </xdr:to>
    <xdr:pic>
      <xdr:nvPicPr>
        <xdr:cNvPr id="2" name="Image 9" descr="C:\Users\guillaume.pincemy\AppData\Local\Microsoft\Windows\INetCache\Content.Word\logo canal Seine-Nord Europe-propo.png">
          <a:extLst>
            <a:ext uri="{FF2B5EF4-FFF2-40B4-BE49-F238E27FC236}">
              <a16:creationId xmlns:a16="http://schemas.microsoft.com/office/drawing/2014/main" id="{48FCEE69-BC01-4863-A7EA-4366F19870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 y="687705"/>
          <a:ext cx="2327910" cy="1205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xdr:col>
      <xdr:colOff>198120</xdr:colOff>
      <xdr:row>52</xdr:row>
      <xdr:rowOff>121920</xdr:rowOff>
    </xdr:from>
    <xdr:to>
      <xdr:col>28</xdr:col>
      <xdr:colOff>53340</xdr:colOff>
      <xdr:row>55</xdr:row>
      <xdr:rowOff>7620</xdr:rowOff>
    </xdr:to>
    <xdr:pic>
      <xdr:nvPicPr>
        <xdr:cNvPr id="3" name="Image 10">
          <a:extLst>
            <a:ext uri="{FF2B5EF4-FFF2-40B4-BE49-F238E27FC236}">
              <a16:creationId xmlns:a16="http://schemas.microsoft.com/office/drawing/2014/main" id="{AB38CE3A-4D4F-48D4-B41C-1A264FC1D4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60620" y="11666220"/>
          <a:ext cx="176022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28</xdr:col>
      <xdr:colOff>91440</xdr:colOff>
      <xdr:row>52</xdr:row>
      <xdr:rowOff>15240</xdr:rowOff>
    </xdr:from>
    <xdr:to>
      <xdr:col>32</xdr:col>
      <xdr:colOff>30480</xdr:colOff>
      <xdr:row>55</xdr:row>
      <xdr:rowOff>38100</xdr:rowOff>
    </xdr:to>
    <xdr:pic>
      <xdr:nvPicPr>
        <xdr:cNvPr id="4" name="Image 11" descr="https://www.canal-seine-nord-europe.fr/var/vnf_site/storage/images/directoire-scsne/3150-1-fre-FR/Actu-Nomination-des-membres-du-directoire-de-la-Societe-du-Canal-Seine-Nord-Europe_vnf_article_full.jpg">
          <a:extLst>
            <a:ext uri="{FF2B5EF4-FFF2-40B4-BE49-F238E27FC236}">
              <a16:creationId xmlns:a16="http://schemas.microsoft.com/office/drawing/2014/main" id="{38E09E62-A31B-475C-B8DB-9E87B112D2A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58940" y="11559540"/>
          <a:ext cx="89154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114300</xdr:colOff>
      <xdr:row>16</xdr:row>
      <xdr:rowOff>109855</xdr:rowOff>
    </xdr:from>
    <xdr:to>
      <xdr:col>31</xdr:col>
      <xdr:colOff>38100</xdr:colOff>
      <xdr:row>23</xdr:row>
      <xdr:rowOff>137160</xdr:rowOff>
    </xdr:to>
    <xdr:pic>
      <xdr:nvPicPr>
        <xdr:cNvPr id="5" name="Image 12" descr="G:\DCRP\CHARGES-COM\Transport-Canal Seine Nord-Mer-Ports &amp; Littoral\Canal Seine Nord\Charte graphique\Charte graphique 120618\CSNE-couv.A4\CSNE-couv.A42.png">
          <a:extLst>
            <a:ext uri="{FF2B5EF4-FFF2-40B4-BE49-F238E27FC236}">
              <a16:creationId xmlns:a16="http://schemas.microsoft.com/office/drawing/2014/main" id="{7E28FFDF-5C80-4B42-908B-AAFE7C769854}"/>
            </a:ext>
          </a:extLst>
        </xdr:cNvPr>
        <xdr:cNvPicPr>
          <a:picLocks noChangeAspect="1" noChangeArrowheads="1"/>
        </xdr:cNvPicPr>
      </xdr:nvPicPr>
      <xdr:blipFill rotWithShape="1">
        <a:blip xmlns:r="http://schemas.openxmlformats.org/officeDocument/2006/relationships" r:embed="rId4" cstate="print">
          <a:clrChange>
            <a:clrFrom>
              <a:srgbClr val="084792"/>
            </a:clrFrom>
            <a:clrTo>
              <a:srgbClr val="084792">
                <a:alpha val="0"/>
              </a:srgbClr>
            </a:clrTo>
          </a:clrChange>
          <a:extLst>
            <a:ext uri="{28A0092B-C50C-407E-A947-70E740481C1C}">
              <a14:useLocalDpi xmlns:a14="http://schemas.microsoft.com/office/drawing/2010/main"/>
            </a:ext>
          </a:extLst>
        </a:blip>
        <a:srcRect l="1683"/>
        <a:stretch/>
      </xdr:blipFill>
      <xdr:spPr bwMode="auto">
        <a:xfrm>
          <a:off x="1781175" y="4348480"/>
          <a:ext cx="5638800" cy="1303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42</xdr:col>
      <xdr:colOff>30480</xdr:colOff>
      <xdr:row>1</xdr:row>
      <xdr:rowOff>121920</xdr:rowOff>
    </xdr:from>
    <xdr:to>
      <xdr:col>50</xdr:col>
      <xdr:colOff>692</xdr:colOff>
      <xdr:row>5</xdr:row>
      <xdr:rowOff>15240</xdr:rowOff>
    </xdr:to>
    <xdr:pic>
      <xdr:nvPicPr>
        <xdr:cNvPr id="6" name="Image 13">
          <a:extLst>
            <a:ext uri="{FF2B5EF4-FFF2-40B4-BE49-F238E27FC236}">
              <a16:creationId xmlns:a16="http://schemas.microsoft.com/office/drawing/2014/main" id="{7E5018E7-D23E-484D-8C77-230C37ED10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031730" y="302895"/>
          <a:ext cx="1875212" cy="617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91440</xdr:colOff>
      <xdr:row>0</xdr:row>
      <xdr:rowOff>121920</xdr:rowOff>
    </xdr:from>
    <xdr:to>
      <xdr:col>41</xdr:col>
      <xdr:colOff>160020</xdr:colOff>
      <xdr:row>5</xdr:row>
      <xdr:rowOff>15240</xdr:rowOff>
    </xdr:to>
    <xdr:pic>
      <xdr:nvPicPr>
        <xdr:cNvPr id="7" name="Image 14" descr="https://www.canal-seine-nord-europe.fr/var/vnf_site/storage/images/directoire-scsne/3150-1-fre-FR/Actu-Nomination-des-membres-du-directoire-de-la-Societe-du-Canal-Seine-Nord-Europe_vnf_article_full.jpg">
          <a:extLst>
            <a:ext uri="{FF2B5EF4-FFF2-40B4-BE49-F238E27FC236}">
              <a16:creationId xmlns:a16="http://schemas.microsoft.com/office/drawing/2014/main" id="{F1EEF001-914E-48DB-B33E-5F4534496FAF}"/>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902065" y="121920"/>
          <a:ext cx="1021080" cy="7981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37</xdr:col>
      <xdr:colOff>121556</xdr:colOff>
      <xdr:row>6</xdr:row>
      <xdr:rowOff>8163</xdr:rowOff>
    </xdr:from>
    <xdr:to>
      <xdr:col>66</xdr:col>
      <xdr:colOff>166549</xdr:colOff>
      <xdr:row>6</xdr:row>
      <xdr:rowOff>8163</xdr:rowOff>
    </xdr:to>
    <xdr:cxnSp macro="">
      <xdr:nvCxnSpPr>
        <xdr:cNvPr id="8" name="Connecteur droit 7">
          <a:extLst>
            <a:ext uri="{FF2B5EF4-FFF2-40B4-BE49-F238E27FC236}">
              <a16:creationId xmlns:a16="http://schemas.microsoft.com/office/drawing/2014/main" id="{18B5B942-71F2-409B-8CF2-9A8171C14D17}"/>
            </a:ext>
          </a:extLst>
        </xdr:cNvPr>
        <xdr:cNvCxnSpPr/>
      </xdr:nvCxnSpPr>
      <xdr:spPr>
        <a:xfrm>
          <a:off x="8932181" y="1094013"/>
          <a:ext cx="6950618" cy="0"/>
        </a:xfrm>
        <a:prstGeom prst="line">
          <a:avLst/>
        </a:prstGeom>
        <a:ln w="9525">
          <a:solidFill>
            <a:schemeClr val="bg1">
              <a:lumMod val="85000"/>
            </a:schemeClr>
          </a:solidFill>
        </a:ln>
        <a:effectLst/>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SCSNE_2019">
      <a:dk1>
        <a:sysClr val="windowText" lastClr="000000"/>
      </a:dk1>
      <a:lt1>
        <a:sysClr val="window" lastClr="FFFFFF"/>
      </a:lt1>
      <a:dk2>
        <a:srgbClr val="00549A"/>
      </a:dk2>
      <a:lt2>
        <a:srgbClr val="EEECE1"/>
      </a:lt2>
      <a:accent1>
        <a:srgbClr val="B8D553"/>
      </a:accent1>
      <a:accent2>
        <a:srgbClr val="44B1D2"/>
      </a:accent2>
      <a:accent3>
        <a:srgbClr val="065DA2"/>
      </a:accent3>
      <a:accent4>
        <a:srgbClr val="8064A2"/>
      </a:accent4>
      <a:accent5>
        <a:srgbClr val="4BACC6"/>
      </a:accent5>
      <a:accent6>
        <a:srgbClr val="F79646"/>
      </a:accent6>
      <a:hlink>
        <a:srgbClr val="0000FF"/>
      </a:hlink>
      <a:folHlink>
        <a:srgbClr val="800080"/>
      </a:folHlink>
    </a:clrScheme>
    <a:fontScheme name="Office Classique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base-inies.fr/iniesV4/dist/infos-produit/12523" TargetMode="External"/><Relationship Id="rId18" Type="http://schemas.openxmlformats.org/officeDocument/2006/relationships/hyperlink" Target="https://www.base-inies.fr/iniesV4/dist/infos-produit/12452" TargetMode="External"/><Relationship Id="rId26" Type="http://schemas.openxmlformats.org/officeDocument/2006/relationships/hyperlink" Target="https://mafdes-files.s3.fr-par.scw.cloud/80ef3707089bee082cd9459ea5517260a5313c70fccb79d59dceeb35cd163776.pdf" TargetMode="External"/><Relationship Id="rId21" Type="http://schemas.openxmlformats.org/officeDocument/2006/relationships/hyperlink" Target="https://www.base-inies.fr/iniesV4/dist/infos-produit/14215" TargetMode="External"/><Relationship Id="rId34" Type="http://schemas.openxmlformats.org/officeDocument/2006/relationships/hyperlink" Target="https://www.cerib.com/prestations/evaluer/evaluation-environnementale/" TargetMode="External"/><Relationship Id="rId7" Type="http://schemas.openxmlformats.org/officeDocument/2006/relationships/hyperlink" Target="https://www.base-inies.fr/iniesV4/dist/infos-produit/27116" TargetMode="External"/><Relationship Id="rId12" Type="http://schemas.openxmlformats.org/officeDocument/2006/relationships/hyperlink" Target="https://www.base-inies.fr/iniesV4/dist/infos-produit/16393" TargetMode="External"/><Relationship Id="rId17" Type="http://schemas.openxmlformats.org/officeDocument/2006/relationships/hyperlink" Target="https://www.asphaltes.org/download/fdes-asphalte-voirie-type-trottoir/" TargetMode="External"/><Relationship Id="rId25" Type="http://schemas.openxmlformats.org/officeDocument/2006/relationships/hyperlink" Target="https://mafdes-files.s3.fr-par.scw.cloud/277732719a61fe25da2267f7ff11fce51ea70f6ad05908b1212668829c032a93.pdf" TargetMode="External"/><Relationship Id="rId33" Type="http://schemas.openxmlformats.org/officeDocument/2006/relationships/hyperlink" Target="https://www.cerib.com/prestations/evaluer/evaluation-environnementale/" TargetMode="External"/><Relationship Id="rId38" Type="http://schemas.openxmlformats.org/officeDocument/2006/relationships/printerSettings" Target="../printerSettings/printerSettings3.bin"/><Relationship Id="rId2" Type="http://schemas.openxmlformats.org/officeDocument/2006/relationships/hyperlink" Target="https://www.base-inies.fr/iniesV4/dist/infos-produit/27114" TargetMode="External"/><Relationship Id="rId16" Type="http://schemas.openxmlformats.org/officeDocument/2006/relationships/hyperlink" Target="https://www.base-inies.fr/iniesV4/dist/infos-produit/11112" TargetMode="External"/><Relationship Id="rId20" Type="http://schemas.openxmlformats.org/officeDocument/2006/relationships/hyperlink" Target="https://www.base-inies.fr/iniesV4/dist/infos-produit/18588" TargetMode="External"/><Relationship Id="rId29" Type="http://schemas.openxmlformats.org/officeDocument/2006/relationships/hyperlink" Target="https://mafdes-files.s3.fr-par.scw.cloud/46324e90833dab81da964ab3e2a66c5e51e3f4d82416f85da0d506e6641a315d.pdf" TargetMode="External"/><Relationship Id="rId1" Type="http://schemas.openxmlformats.org/officeDocument/2006/relationships/hyperlink" Target="https://www.asphaltes.org/download/fdes-asphalte-voirie-type-chaussee/" TargetMode="External"/><Relationship Id="rId6" Type="http://schemas.openxmlformats.org/officeDocument/2006/relationships/hyperlink" Target="https://www.base-inies.fr/iniesV4/dist/infos-produit/27117" TargetMode="External"/><Relationship Id="rId11" Type="http://schemas.openxmlformats.org/officeDocument/2006/relationships/hyperlink" Target="https://www.base-inies.fr/iniesV4/dist/infos-produit/16394" TargetMode="External"/><Relationship Id="rId24" Type="http://schemas.openxmlformats.org/officeDocument/2006/relationships/hyperlink" Target="https://mafdes-files.s3.fr-par.scw.cloud/dc4e05c5ad623a6a4b2da81fda00bee0a25c05b617ebe10d8b44726c08953b81.pdf" TargetMode="External"/><Relationship Id="rId32" Type="http://schemas.openxmlformats.org/officeDocument/2006/relationships/hyperlink" Target="https://www.cerib.com/prestations/evaluer/evaluation-environnementale/" TargetMode="External"/><Relationship Id="rId37" Type="http://schemas.openxmlformats.org/officeDocument/2006/relationships/hyperlink" Target="https://www.cerib.com/wp-content/uploads/2021/10/467-E2-FDES-Poteau-BA-nov.pdf" TargetMode="External"/><Relationship Id="rId5" Type="http://schemas.openxmlformats.org/officeDocument/2006/relationships/hyperlink" Target="https://www.base-inies.fr/iniesV4/dist/infos-produit/27580" TargetMode="External"/><Relationship Id="rId15" Type="http://schemas.openxmlformats.org/officeDocument/2006/relationships/hyperlink" Target="https://www.base-inies.fr/iniesV4/dist/infos-produit/26907" TargetMode="External"/><Relationship Id="rId23" Type="http://schemas.openxmlformats.org/officeDocument/2006/relationships/hyperlink" Target="https://mafdes-files.s3.fr-par.scw.cloud/42d80d044c61973c2a52ddac2cf4727892b16f49c9321068ff4aca0de52ee864.pdf" TargetMode="External"/><Relationship Id="rId28" Type="http://schemas.openxmlformats.org/officeDocument/2006/relationships/hyperlink" Target="https://mafdes-files.s3.fr-par.scw.cloud/4dca7ae06587d5db51874aab06815600680fae018e3eb20c118a2ac1184863a8.pdf" TargetMode="External"/><Relationship Id="rId36" Type="http://schemas.openxmlformats.org/officeDocument/2006/relationships/hyperlink" Target="https://www.cerib.com/prestations/evaluer/evaluation-environnementale/" TargetMode="External"/><Relationship Id="rId10" Type="http://schemas.openxmlformats.org/officeDocument/2006/relationships/hyperlink" Target="https://www.base-inies.fr/iniesV4/dist/infos-produit" TargetMode="External"/><Relationship Id="rId19" Type="http://schemas.openxmlformats.org/officeDocument/2006/relationships/hyperlink" Target="https://www.base-inies.fr/iniesV4/dist/infos-produit/18587" TargetMode="External"/><Relationship Id="rId31" Type="http://schemas.openxmlformats.org/officeDocument/2006/relationships/hyperlink" Target="https://www.cerib.com/prestations/evaluer/evaluation-environnementale/" TargetMode="External"/><Relationship Id="rId4" Type="http://schemas.openxmlformats.org/officeDocument/2006/relationships/hyperlink" Target="https://www.base-inies.fr/iniesV4/dist/infos-produit/27111" TargetMode="External"/><Relationship Id="rId9" Type="http://schemas.openxmlformats.org/officeDocument/2006/relationships/hyperlink" Target="https://www.base-inies.fr/iniesV4/dist/infos-produit/27005" TargetMode="External"/><Relationship Id="rId14" Type="http://schemas.openxmlformats.org/officeDocument/2006/relationships/hyperlink" Target="https://www.base-inies.fr/iniesV4/dist/infos-produit/26906" TargetMode="External"/><Relationship Id="rId22" Type="http://schemas.openxmlformats.org/officeDocument/2006/relationships/hyperlink" Target="https://mafdes-files.s3.fr-par.scw.cloud/4a34aeb5093df434d5cbb833fd7e9c71f338758203a3758abda8c7bfecac89b5.pdf" TargetMode="External"/><Relationship Id="rId27" Type="http://schemas.openxmlformats.org/officeDocument/2006/relationships/hyperlink" Target="https://mafdes-files.s3.fr-par.scw.cloud/1cea985a77f73c3090d616269113106fbf7282cf26761340618538778c5a531f.pdf" TargetMode="External"/><Relationship Id="rId30" Type="http://schemas.openxmlformats.org/officeDocument/2006/relationships/hyperlink" Target="https://www.cerib.com/prestations/evaluer/evaluation-environnementale/" TargetMode="External"/><Relationship Id="rId35" Type="http://schemas.openxmlformats.org/officeDocument/2006/relationships/hyperlink" Target="https://www.cerib.com/prestations/evaluer/evaluation-environnementale/" TargetMode="External"/><Relationship Id="rId8" Type="http://schemas.openxmlformats.org/officeDocument/2006/relationships/hyperlink" Target="https://www.base-inies.fr/iniesV4/dist/infos-produit/27025" TargetMode="External"/><Relationship Id="rId3" Type="http://schemas.openxmlformats.org/officeDocument/2006/relationships/hyperlink" Target="https://www.base-inies.fr/iniesV4/dist/infos-produit/27114"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A4C16-1980-48CE-B545-DEC0926ED277}">
  <sheetPr>
    <pageSetUpPr fitToPage="1"/>
  </sheetPr>
  <dimension ref="B8:BP53"/>
  <sheetViews>
    <sheetView showGridLines="0" tabSelected="1" topLeftCell="A5" zoomScaleNormal="100" zoomScaleSheetLayoutView="100" zoomScalePageLayoutView="70" workbookViewId="0">
      <selection activeCell="D11" sqref="D11:AE11"/>
    </sheetView>
  </sheetViews>
  <sheetFormatPr baseColWidth="10" defaultColWidth="3.19921875" defaultRowHeight="13.8"/>
  <cols>
    <col min="1" max="108" width="3.09765625" customWidth="1"/>
  </cols>
  <sheetData>
    <row r="8" spans="4:68" ht="15" customHeight="1">
      <c r="F8" s="167"/>
      <c r="G8" s="167"/>
      <c r="H8" s="167"/>
      <c r="I8" s="167"/>
      <c r="J8" s="167"/>
      <c r="K8" s="167"/>
      <c r="L8" s="167"/>
    </row>
    <row r="9" spans="4:68" ht="18.75" customHeight="1">
      <c r="E9" s="167"/>
      <c r="F9" s="167"/>
      <c r="G9" s="167"/>
      <c r="H9" s="167"/>
      <c r="I9" s="167"/>
      <c r="J9" s="167"/>
      <c r="K9" s="167"/>
      <c r="L9" s="167"/>
    </row>
    <row r="10" spans="4:68" ht="15" customHeight="1">
      <c r="L10" s="168"/>
    </row>
    <row r="11" spans="4:68" ht="89.25" customHeight="1">
      <c r="D11" s="177" t="s">
        <v>2013</v>
      </c>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69"/>
    </row>
    <row r="12" spans="4:68" ht="45" customHeight="1">
      <c r="D12" s="179" t="s">
        <v>2000</v>
      </c>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0"/>
      <c r="AL12" s="180" t="s">
        <v>2</v>
      </c>
      <c r="AM12" s="180"/>
      <c r="AN12" s="180"/>
      <c r="AO12" s="180"/>
      <c r="AP12" s="180"/>
      <c r="AQ12" s="180"/>
      <c r="AR12" s="180"/>
      <c r="AS12" s="180"/>
      <c r="AT12" s="180"/>
      <c r="AU12" s="180"/>
      <c r="AV12" s="180"/>
      <c r="AW12" s="180"/>
      <c r="AX12" s="180"/>
      <c r="AY12" s="180"/>
      <c r="AZ12" s="180"/>
      <c r="BA12" s="180"/>
      <c r="BB12" s="180"/>
      <c r="BC12" s="180"/>
      <c r="BD12" s="180"/>
      <c r="BE12" s="180"/>
      <c r="BF12" s="180"/>
      <c r="BG12" s="180"/>
      <c r="BH12" s="180"/>
      <c r="BI12" s="180"/>
      <c r="BJ12" s="180"/>
      <c r="BK12" s="180"/>
      <c r="BL12" s="180"/>
      <c r="BM12" s="180"/>
      <c r="BN12" s="180"/>
      <c r="BO12" s="180"/>
      <c r="BP12" s="180"/>
    </row>
    <row r="13" spans="4:68" ht="13.95" customHeight="1"/>
    <row r="14" spans="4:68" ht="25.5" customHeight="1">
      <c r="AL14" s="181" t="s">
        <v>0</v>
      </c>
      <c r="AM14" s="182"/>
      <c r="AN14" s="182" t="s">
        <v>1</v>
      </c>
      <c r="AO14" s="182"/>
      <c r="AP14" s="182"/>
      <c r="AQ14" s="182"/>
      <c r="AR14" s="182" t="s">
        <v>20</v>
      </c>
      <c r="AS14" s="182"/>
      <c r="AT14" s="182"/>
      <c r="AU14" s="182"/>
      <c r="AV14" s="182"/>
      <c r="AW14" s="182"/>
      <c r="AX14" s="182"/>
      <c r="AY14" s="182"/>
      <c r="AZ14" s="182"/>
      <c r="BA14" s="182"/>
      <c r="BB14" s="182"/>
      <c r="BC14" s="182"/>
      <c r="BD14" s="182"/>
      <c r="BE14" s="182" t="s">
        <v>21</v>
      </c>
      <c r="BF14" s="182"/>
      <c r="BG14" s="182"/>
      <c r="BH14" s="182"/>
      <c r="BI14" s="182" t="s">
        <v>1995</v>
      </c>
      <c r="BJ14" s="182"/>
      <c r="BK14" s="182"/>
      <c r="BL14" s="182"/>
      <c r="BM14" s="182" t="s">
        <v>1996</v>
      </c>
      <c r="BN14" s="182"/>
      <c r="BO14" s="182"/>
      <c r="BP14" s="183"/>
    </row>
    <row r="15" spans="4:68" ht="15" customHeight="1">
      <c r="AE15" s="2"/>
      <c r="AL15" s="186" t="s">
        <v>1992</v>
      </c>
      <c r="AM15" s="187"/>
      <c r="AN15" s="190">
        <v>45681</v>
      </c>
      <c r="AO15" s="190"/>
      <c r="AP15" s="190"/>
      <c r="AQ15" s="190"/>
      <c r="AR15" s="192" t="s">
        <v>1997</v>
      </c>
      <c r="AS15" s="192"/>
      <c r="AT15" s="192"/>
      <c r="AU15" s="192"/>
      <c r="AV15" s="192"/>
      <c r="AW15" s="192"/>
      <c r="AX15" s="192"/>
      <c r="AY15" s="192"/>
      <c r="AZ15" s="192"/>
      <c r="BA15" s="192"/>
      <c r="BB15" s="192"/>
      <c r="BC15" s="192"/>
      <c r="BD15" s="192"/>
      <c r="BE15" s="192" t="s">
        <v>2009</v>
      </c>
      <c r="BF15" s="192"/>
      <c r="BG15" s="192"/>
      <c r="BH15" s="192"/>
      <c r="BI15" s="192" t="s">
        <v>2010</v>
      </c>
      <c r="BJ15" s="192"/>
      <c r="BK15" s="192"/>
      <c r="BL15" s="192"/>
      <c r="BM15" s="192" t="s">
        <v>2010</v>
      </c>
      <c r="BN15" s="192"/>
      <c r="BO15" s="192"/>
      <c r="BP15" s="193"/>
    </row>
    <row r="16" spans="4:68">
      <c r="AL16" s="188"/>
      <c r="AM16" s="189"/>
      <c r="AN16" s="191"/>
      <c r="AO16" s="191"/>
      <c r="AP16" s="191"/>
      <c r="AQ16" s="191"/>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5"/>
    </row>
    <row r="17" spans="5:68">
      <c r="AE17" s="1"/>
      <c r="AL17" s="188"/>
      <c r="AM17" s="189"/>
      <c r="AN17" s="191"/>
      <c r="AO17" s="191"/>
      <c r="AP17" s="191"/>
      <c r="AQ17" s="191"/>
      <c r="AR17" s="184"/>
      <c r="AS17" s="184"/>
      <c r="AT17" s="184"/>
      <c r="AU17" s="184"/>
      <c r="AV17" s="184"/>
      <c r="AW17" s="184"/>
      <c r="AX17" s="184"/>
      <c r="AY17" s="184"/>
      <c r="AZ17" s="184"/>
      <c r="BA17" s="184"/>
      <c r="BB17" s="184"/>
      <c r="BC17" s="184"/>
      <c r="BD17" s="184"/>
      <c r="BE17" s="184"/>
      <c r="BF17" s="184"/>
      <c r="BG17" s="184"/>
      <c r="BH17" s="184"/>
      <c r="BI17" s="184"/>
      <c r="BJ17" s="184"/>
      <c r="BK17" s="184"/>
      <c r="BL17" s="184"/>
      <c r="BM17" s="184"/>
      <c r="BN17" s="184"/>
      <c r="BO17" s="184"/>
      <c r="BP17" s="185"/>
    </row>
    <row r="18" spans="5:68">
      <c r="AL18" s="188"/>
      <c r="AM18" s="189"/>
      <c r="AN18" s="191"/>
      <c r="AO18" s="191"/>
      <c r="AP18" s="191"/>
      <c r="AQ18" s="191"/>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5"/>
    </row>
    <row r="19" spans="5:68">
      <c r="AL19" s="188"/>
      <c r="AM19" s="189"/>
      <c r="AN19" s="191"/>
      <c r="AO19" s="191"/>
      <c r="AP19" s="191"/>
      <c r="AQ19" s="191"/>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5"/>
    </row>
    <row r="20" spans="5:68">
      <c r="AL20" s="188"/>
      <c r="AM20" s="189"/>
      <c r="AN20" s="191"/>
      <c r="AO20" s="191"/>
      <c r="AP20" s="191"/>
      <c r="AQ20" s="191"/>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5"/>
    </row>
    <row r="21" spans="5:68">
      <c r="AL21" s="188"/>
      <c r="AM21" s="189"/>
      <c r="AN21" s="191"/>
      <c r="AO21" s="191"/>
      <c r="AP21" s="191"/>
      <c r="AQ21" s="191"/>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5"/>
    </row>
    <row r="22" spans="5:68">
      <c r="AL22" s="188"/>
      <c r="AM22" s="189"/>
      <c r="AN22" s="191"/>
      <c r="AO22" s="191"/>
      <c r="AP22" s="191"/>
      <c r="AQ22" s="191"/>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5"/>
    </row>
    <row r="23" spans="5:68">
      <c r="AL23" s="188"/>
      <c r="AM23" s="189"/>
      <c r="AN23" s="191"/>
      <c r="AO23" s="191"/>
      <c r="AP23" s="191"/>
      <c r="AQ23" s="191"/>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5"/>
    </row>
    <row r="24" spans="5:68" ht="36" customHeight="1">
      <c r="AL24" s="197"/>
      <c r="AM24" s="198"/>
      <c r="AN24" s="199"/>
      <c r="AO24" s="199"/>
      <c r="AP24" s="199"/>
      <c r="AQ24" s="199"/>
      <c r="AR24" s="200"/>
      <c r="AS24" s="200"/>
      <c r="AT24" s="200"/>
      <c r="AU24" s="200"/>
      <c r="AV24" s="200"/>
      <c r="AW24" s="200"/>
      <c r="AX24" s="200"/>
      <c r="AY24" s="200"/>
      <c r="AZ24" s="200"/>
      <c r="BA24" s="200"/>
      <c r="BB24" s="200"/>
      <c r="BC24" s="200"/>
      <c r="BD24" s="200"/>
      <c r="BE24" s="200"/>
      <c r="BF24" s="200"/>
      <c r="BG24" s="200"/>
      <c r="BH24" s="200"/>
      <c r="BI24" s="200"/>
      <c r="BJ24" s="200"/>
      <c r="BK24" s="200"/>
      <c r="BL24" s="200"/>
      <c r="BM24" s="200"/>
      <c r="BN24" s="200"/>
      <c r="BO24" s="200"/>
      <c r="BP24" s="201"/>
    </row>
    <row r="26" spans="5:68" ht="17.399999999999999" customHeight="1">
      <c r="R26" s="202"/>
      <c r="S26" s="202"/>
      <c r="T26" s="202"/>
      <c r="U26" s="202"/>
      <c r="V26" s="202"/>
      <c r="W26" s="202"/>
      <c r="X26" s="202"/>
      <c r="Y26" s="202"/>
      <c r="Z26" s="202"/>
      <c r="AA26" s="202"/>
      <c r="AB26" s="202"/>
      <c r="AC26" s="202"/>
      <c r="AD26" s="202"/>
      <c r="AE26" s="202"/>
    </row>
    <row r="27" spans="5:68" ht="13.95" customHeight="1">
      <c r="F27" s="171"/>
      <c r="G27" s="171"/>
      <c r="R27" s="202"/>
      <c r="S27" s="202"/>
      <c r="T27" s="202"/>
      <c r="U27" s="202"/>
      <c r="V27" s="202"/>
      <c r="W27" s="202"/>
      <c r="X27" s="202"/>
      <c r="Y27" s="202"/>
      <c r="Z27" s="202"/>
      <c r="AA27" s="202"/>
      <c r="AB27" s="202"/>
      <c r="AC27" s="202"/>
      <c r="AD27" s="202"/>
      <c r="AE27" s="202"/>
    </row>
    <row r="28" spans="5:68" ht="13.95" customHeight="1">
      <c r="E28" s="171"/>
      <c r="F28" s="171"/>
      <c r="G28" s="171"/>
      <c r="AE28" s="172"/>
    </row>
    <row r="29" spans="5:68" ht="15" customHeight="1">
      <c r="AL29" s="180" t="s">
        <v>1998</v>
      </c>
      <c r="AM29" s="180"/>
      <c r="AN29" s="180"/>
      <c r="AO29" s="180"/>
      <c r="AP29" s="180"/>
      <c r="AQ29" s="180"/>
      <c r="AR29" s="180"/>
      <c r="AS29" s="180"/>
      <c r="AT29" s="180"/>
      <c r="AU29" s="180"/>
      <c r="AV29" s="180"/>
      <c r="AW29" s="180"/>
      <c r="AX29" s="180"/>
      <c r="AY29" s="180"/>
      <c r="AZ29" s="180"/>
      <c r="BA29" s="180"/>
      <c r="BB29" s="180"/>
      <c r="BC29" s="180"/>
      <c r="BD29" s="180"/>
      <c r="BE29" s="180"/>
      <c r="BF29" s="180"/>
      <c r="BG29" s="180"/>
      <c r="BH29" s="180"/>
      <c r="BI29" s="180"/>
      <c r="BJ29" s="180"/>
      <c r="BK29" s="180"/>
      <c r="BL29" s="180"/>
      <c r="BM29" s="180"/>
      <c r="BN29" s="180"/>
      <c r="BO29" s="180"/>
      <c r="BP29" s="180"/>
    </row>
    <row r="30" spans="5:68" ht="15" customHeight="1">
      <c r="U30" s="173"/>
      <c r="V30" s="173"/>
      <c r="W30" s="173"/>
      <c r="X30" s="173"/>
      <c r="Y30" s="173"/>
      <c r="Z30" s="173"/>
      <c r="AA30" s="173"/>
      <c r="AB30" s="173"/>
      <c r="AC30" s="173"/>
      <c r="AD30" s="173"/>
      <c r="AE30" s="174"/>
    </row>
    <row r="31" spans="5:68" ht="14.25" customHeight="1">
      <c r="L31" s="175"/>
      <c r="T31" s="173"/>
      <c r="U31" s="173"/>
      <c r="V31" s="173"/>
      <c r="W31" s="173"/>
      <c r="X31" s="173"/>
      <c r="Y31" s="173"/>
      <c r="Z31" s="173"/>
      <c r="AA31" s="173"/>
      <c r="AB31" s="173"/>
      <c r="AC31" s="173"/>
      <c r="AD31" s="173"/>
      <c r="AE31" s="173"/>
      <c r="AL31" s="203" t="s">
        <v>10</v>
      </c>
      <c r="AM31" s="204"/>
      <c r="AN31" s="204"/>
      <c r="AO31" s="204"/>
      <c r="AP31" s="204"/>
      <c r="AQ31" s="204"/>
      <c r="AR31" s="204"/>
      <c r="AS31" s="204"/>
      <c r="AT31" s="204" t="s">
        <v>11</v>
      </c>
      <c r="AU31" s="204"/>
      <c r="AV31" s="204"/>
      <c r="AW31" s="204"/>
      <c r="AX31" s="204"/>
      <c r="AY31" s="204"/>
      <c r="AZ31" s="204"/>
      <c r="BA31" s="204"/>
      <c r="BB31" s="204"/>
      <c r="BC31" s="204"/>
      <c r="BD31" s="204"/>
      <c r="BE31" s="204"/>
      <c r="BF31" s="204" t="s">
        <v>12</v>
      </c>
      <c r="BG31" s="204"/>
      <c r="BH31" s="204"/>
      <c r="BI31" s="204"/>
      <c r="BJ31" s="204"/>
      <c r="BK31" s="204"/>
      <c r="BL31" s="204"/>
      <c r="BM31" s="204"/>
      <c r="BN31" s="204"/>
      <c r="BO31" s="204"/>
      <c r="BP31" s="205"/>
    </row>
    <row r="32" spans="5:68" ht="14.25" customHeight="1">
      <c r="L32" s="175"/>
      <c r="AE32" s="176"/>
      <c r="AL32" s="194" t="s">
        <v>1993</v>
      </c>
      <c r="AM32" s="195"/>
      <c r="AN32" s="195"/>
      <c r="AO32" s="195"/>
      <c r="AP32" s="195"/>
      <c r="AQ32" s="195"/>
      <c r="AR32" s="195"/>
      <c r="AS32" s="195"/>
      <c r="AT32" s="195" t="s">
        <v>2011</v>
      </c>
      <c r="AU32" s="195"/>
      <c r="AV32" s="195"/>
      <c r="AW32" s="195"/>
      <c r="AX32" s="195"/>
      <c r="AY32" s="195"/>
      <c r="AZ32" s="195"/>
      <c r="BA32" s="195"/>
      <c r="BB32" s="195"/>
      <c r="BC32" s="195"/>
      <c r="BD32" s="195"/>
      <c r="BE32" s="195"/>
      <c r="BF32" s="195"/>
      <c r="BG32" s="195"/>
      <c r="BH32" s="195"/>
      <c r="BI32" s="195"/>
      <c r="BJ32" s="195"/>
      <c r="BK32" s="195"/>
      <c r="BL32" s="195"/>
      <c r="BM32" s="195"/>
      <c r="BN32" s="195"/>
      <c r="BO32" s="195"/>
      <c r="BP32" s="196"/>
    </row>
    <row r="33" spans="2:68">
      <c r="AL33" s="194"/>
      <c r="AM33" s="195"/>
      <c r="AN33" s="195"/>
      <c r="AO33" s="195"/>
      <c r="AP33" s="195"/>
      <c r="AQ33" s="195"/>
      <c r="AR33" s="195"/>
      <c r="AS33" s="195"/>
      <c r="AT33" s="195"/>
      <c r="AU33" s="195"/>
      <c r="AV33" s="195"/>
      <c r="AW33" s="195"/>
      <c r="AX33" s="195"/>
      <c r="AY33" s="195"/>
      <c r="AZ33" s="195"/>
      <c r="BA33" s="195"/>
      <c r="BB33" s="195"/>
      <c r="BC33" s="195"/>
      <c r="BD33" s="195"/>
      <c r="BE33" s="195"/>
      <c r="BF33" s="195"/>
      <c r="BG33" s="195"/>
      <c r="BH33" s="195"/>
      <c r="BI33" s="195"/>
      <c r="BJ33" s="195"/>
      <c r="BK33" s="195"/>
      <c r="BL33" s="195"/>
      <c r="BM33" s="195"/>
      <c r="BN33" s="195"/>
      <c r="BO33" s="195"/>
      <c r="BP33" s="196"/>
    </row>
    <row r="34" spans="2:68" ht="15" customHeight="1">
      <c r="AL34" s="194" t="s">
        <v>1994</v>
      </c>
      <c r="AM34" s="195"/>
      <c r="AN34" s="195"/>
      <c r="AO34" s="195"/>
      <c r="AP34" s="195"/>
      <c r="AQ34" s="195"/>
      <c r="AR34" s="195"/>
      <c r="AS34" s="195"/>
      <c r="AT34" s="195" t="s">
        <v>2012</v>
      </c>
      <c r="AU34" s="195"/>
      <c r="AV34" s="195"/>
      <c r="AW34" s="195"/>
      <c r="AX34" s="195"/>
      <c r="AY34" s="195"/>
      <c r="AZ34" s="195"/>
      <c r="BA34" s="195"/>
      <c r="BB34" s="195"/>
      <c r="BC34" s="195"/>
      <c r="BD34" s="195"/>
      <c r="BE34" s="195"/>
      <c r="BF34" s="195"/>
      <c r="BG34" s="195"/>
      <c r="BH34" s="195"/>
      <c r="BI34" s="195"/>
      <c r="BJ34" s="195"/>
      <c r="BK34" s="195"/>
      <c r="BL34" s="195"/>
      <c r="BM34" s="195"/>
      <c r="BN34" s="195"/>
      <c r="BO34" s="195"/>
      <c r="BP34" s="196"/>
    </row>
    <row r="35" spans="2:68" ht="15" customHeight="1">
      <c r="AL35" s="194"/>
      <c r="AM35" s="195"/>
      <c r="AN35" s="195"/>
      <c r="AO35" s="195"/>
      <c r="AP35" s="195"/>
      <c r="AQ35" s="195"/>
      <c r="AR35" s="195"/>
      <c r="AS35" s="195"/>
      <c r="AT35" s="195"/>
      <c r="AU35" s="195"/>
      <c r="AV35" s="195"/>
      <c r="AW35" s="195"/>
      <c r="AX35" s="195"/>
      <c r="AY35" s="195"/>
      <c r="AZ35" s="195"/>
      <c r="BA35" s="195"/>
      <c r="BB35" s="195"/>
      <c r="BC35" s="195"/>
      <c r="BD35" s="195"/>
      <c r="BE35" s="195"/>
      <c r="BF35" s="195"/>
      <c r="BG35" s="195"/>
      <c r="BH35" s="195"/>
      <c r="BI35" s="195"/>
      <c r="BJ35" s="195"/>
      <c r="BK35" s="195"/>
      <c r="BL35" s="195"/>
      <c r="BM35" s="195"/>
      <c r="BN35" s="195"/>
      <c r="BO35" s="195"/>
      <c r="BP35" s="196"/>
    </row>
    <row r="36" spans="2:68" ht="15" customHeight="1">
      <c r="AL36" s="194"/>
      <c r="AM36" s="195"/>
      <c r="AN36" s="195"/>
      <c r="AO36" s="195"/>
      <c r="AP36" s="195"/>
      <c r="AQ36" s="195"/>
      <c r="AR36" s="195"/>
      <c r="AS36" s="195"/>
      <c r="AT36" s="195"/>
      <c r="AU36" s="195"/>
      <c r="AV36" s="195"/>
      <c r="AW36" s="195"/>
      <c r="AX36" s="195"/>
      <c r="AY36" s="195"/>
      <c r="AZ36" s="195"/>
      <c r="BA36" s="195"/>
      <c r="BB36" s="195"/>
      <c r="BC36" s="195"/>
      <c r="BD36" s="195"/>
      <c r="BE36" s="195"/>
      <c r="BF36" s="195"/>
      <c r="BG36" s="195"/>
      <c r="BH36" s="195"/>
      <c r="BI36" s="195"/>
      <c r="BJ36" s="195"/>
      <c r="BK36" s="195"/>
      <c r="BL36" s="195"/>
      <c r="BM36" s="195"/>
      <c r="BN36" s="195"/>
      <c r="BO36" s="195"/>
      <c r="BP36" s="196"/>
    </row>
    <row r="37" spans="2:68" ht="15" customHeight="1">
      <c r="AL37" s="194"/>
      <c r="AM37" s="195"/>
      <c r="AN37" s="195"/>
      <c r="AO37" s="195"/>
      <c r="AP37" s="195"/>
      <c r="AQ37" s="195"/>
      <c r="AR37" s="195"/>
      <c r="AS37" s="195"/>
      <c r="AT37" s="195"/>
      <c r="AU37" s="195"/>
      <c r="AV37" s="195"/>
      <c r="AW37" s="195"/>
      <c r="AX37" s="195"/>
      <c r="AY37" s="195"/>
      <c r="AZ37" s="195"/>
      <c r="BA37" s="195"/>
      <c r="BB37" s="195"/>
      <c r="BC37" s="195"/>
      <c r="BD37" s="195"/>
      <c r="BE37" s="195"/>
      <c r="BF37" s="195"/>
      <c r="BG37" s="195"/>
      <c r="BH37" s="195"/>
      <c r="BI37" s="195"/>
      <c r="BJ37" s="195"/>
      <c r="BK37" s="195"/>
      <c r="BL37" s="195"/>
      <c r="BM37" s="195"/>
      <c r="BN37" s="195"/>
      <c r="BO37" s="195"/>
      <c r="BP37" s="196"/>
    </row>
    <row r="38" spans="2:68" ht="15" customHeight="1">
      <c r="AL38" s="194"/>
      <c r="AM38" s="195"/>
      <c r="AN38" s="195"/>
      <c r="AO38" s="195"/>
      <c r="AP38" s="195"/>
      <c r="AQ38" s="195"/>
      <c r="AR38" s="195"/>
      <c r="AS38" s="195"/>
      <c r="AT38" s="195"/>
      <c r="AU38" s="195"/>
      <c r="AV38" s="195"/>
      <c r="AW38" s="195"/>
      <c r="AX38" s="195"/>
      <c r="AY38" s="195"/>
      <c r="AZ38" s="195"/>
      <c r="BA38" s="195"/>
      <c r="BB38" s="195"/>
      <c r="BC38" s="195"/>
      <c r="BD38" s="195"/>
      <c r="BE38" s="195"/>
      <c r="BF38" s="195"/>
      <c r="BG38" s="195"/>
      <c r="BH38" s="195"/>
      <c r="BI38" s="195"/>
      <c r="BJ38" s="195"/>
      <c r="BK38" s="195"/>
      <c r="BL38" s="195"/>
      <c r="BM38" s="195"/>
      <c r="BN38" s="195"/>
      <c r="BO38" s="195"/>
      <c r="BP38" s="196"/>
    </row>
    <row r="39" spans="2:68" ht="15" customHeight="1">
      <c r="AL39" s="206"/>
      <c r="AM39" s="207"/>
      <c r="AN39" s="207"/>
      <c r="AO39" s="207"/>
      <c r="AP39" s="207"/>
      <c r="AQ39" s="207"/>
      <c r="AR39" s="207"/>
      <c r="AS39" s="207"/>
      <c r="AT39" s="207"/>
      <c r="AU39" s="207"/>
      <c r="AV39" s="207"/>
      <c r="AW39" s="207"/>
      <c r="AX39" s="207"/>
      <c r="AY39" s="207"/>
      <c r="AZ39" s="207"/>
      <c r="BA39" s="207"/>
      <c r="BB39" s="207"/>
      <c r="BC39" s="207"/>
      <c r="BD39" s="207"/>
      <c r="BE39" s="207"/>
      <c r="BF39" s="207"/>
      <c r="BG39" s="207"/>
      <c r="BH39" s="207"/>
      <c r="BI39" s="207"/>
      <c r="BJ39" s="207"/>
      <c r="BK39" s="207"/>
      <c r="BL39" s="207"/>
      <c r="BM39" s="207"/>
      <c r="BN39" s="207"/>
      <c r="BO39" s="207"/>
      <c r="BP39" s="208"/>
    </row>
    <row r="40" spans="2:68" ht="15" customHeight="1"/>
    <row r="41" spans="2:68" ht="15" customHeight="1">
      <c r="B41" s="3" t="s">
        <v>16</v>
      </c>
      <c r="C41" s="4"/>
      <c r="D41" s="5"/>
      <c r="E41" s="5"/>
      <c r="F41" s="5"/>
      <c r="G41" s="5"/>
      <c r="H41" s="5"/>
      <c r="I41" s="6" t="s">
        <v>18</v>
      </c>
      <c r="J41" s="5"/>
      <c r="K41" s="5"/>
      <c r="AL41" s="180" t="s">
        <v>1999</v>
      </c>
      <c r="AM41" s="180"/>
      <c r="AN41" s="180"/>
      <c r="AO41" s="180"/>
      <c r="AP41" s="180"/>
      <c r="AQ41" s="180"/>
      <c r="AR41" s="180"/>
      <c r="AS41" s="180"/>
      <c r="AT41" s="180"/>
      <c r="AU41" s="180"/>
      <c r="AV41" s="180"/>
      <c r="AW41" s="180"/>
      <c r="AX41" s="180"/>
      <c r="AY41" s="180"/>
      <c r="AZ41" s="180"/>
      <c r="BA41" s="180"/>
      <c r="BB41" s="180"/>
      <c r="BC41" s="180"/>
      <c r="BD41" s="180"/>
      <c r="BE41" s="180"/>
      <c r="BF41" s="180"/>
      <c r="BG41" s="180"/>
      <c r="BH41" s="180"/>
      <c r="BI41" s="180"/>
      <c r="BJ41" s="180"/>
      <c r="BK41" s="180"/>
      <c r="BL41" s="180"/>
      <c r="BM41" s="180"/>
      <c r="BN41" s="180"/>
      <c r="BO41" s="180"/>
      <c r="BP41" s="180"/>
    </row>
    <row r="42" spans="2:68" ht="15" customHeight="1">
      <c r="B42" s="7" t="s">
        <v>17</v>
      </c>
      <c r="C42" s="8"/>
      <c r="D42" s="9"/>
      <c r="E42" s="9"/>
      <c r="F42" s="9"/>
      <c r="G42" s="9"/>
      <c r="H42" s="9"/>
      <c r="I42" s="10" t="s">
        <v>1064</v>
      </c>
      <c r="J42" s="9"/>
      <c r="K42" s="9"/>
    </row>
    <row r="43" spans="2:68" ht="15" customHeight="1">
      <c r="B43" s="11" t="s">
        <v>15</v>
      </c>
      <c r="C43" s="12"/>
      <c r="D43" s="13"/>
      <c r="E43" s="13"/>
      <c r="F43" s="13"/>
      <c r="G43" s="13"/>
      <c r="H43" s="13"/>
      <c r="I43" s="209">
        <v>45681</v>
      </c>
      <c r="J43" s="210"/>
      <c r="K43" s="210"/>
      <c r="AL43" s="211"/>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3"/>
    </row>
    <row r="44" spans="2:68" ht="15" customHeight="1">
      <c r="AL44" s="214"/>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c r="BI44" s="215"/>
      <c r="BJ44" s="215"/>
      <c r="BK44" s="215"/>
      <c r="BL44" s="215"/>
      <c r="BM44" s="215"/>
      <c r="BN44" s="215"/>
      <c r="BO44" s="215"/>
      <c r="BP44" s="216"/>
    </row>
    <row r="45" spans="2:68" ht="15" customHeight="1"/>
    <row r="48" spans="2:68" ht="17.399999999999999">
      <c r="B48" s="180" t="s">
        <v>22</v>
      </c>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row>
    <row r="50" spans="2:33" ht="22.5" customHeight="1">
      <c r="B50" s="217" t="s">
        <v>3</v>
      </c>
      <c r="C50" s="217"/>
      <c r="D50" s="217"/>
      <c r="E50" s="217" t="s">
        <v>19</v>
      </c>
      <c r="F50" s="217"/>
      <c r="G50" s="217"/>
      <c r="H50" s="217" t="s">
        <v>4</v>
      </c>
      <c r="I50" s="217"/>
      <c r="J50" s="217"/>
      <c r="K50" s="217" t="s">
        <v>5</v>
      </c>
      <c r="L50" s="217"/>
      <c r="M50" s="217"/>
      <c r="N50" s="217" t="s">
        <v>13</v>
      </c>
      <c r="O50" s="217"/>
      <c r="P50" s="217"/>
      <c r="Q50" s="217"/>
      <c r="R50" s="217" t="s">
        <v>6</v>
      </c>
      <c r="S50" s="217"/>
      <c r="T50" s="217"/>
      <c r="U50" s="217" t="s">
        <v>14</v>
      </c>
      <c r="V50" s="217"/>
      <c r="W50" s="217"/>
      <c r="X50" s="217"/>
      <c r="Y50" s="217" t="s">
        <v>7</v>
      </c>
      <c r="Z50" s="217"/>
      <c r="AA50" s="217"/>
      <c r="AB50" s="217" t="s">
        <v>8</v>
      </c>
      <c r="AC50" s="217"/>
      <c r="AD50" s="217"/>
      <c r="AE50" s="217"/>
      <c r="AF50" s="217" t="s">
        <v>9</v>
      </c>
      <c r="AG50" s="217"/>
    </row>
    <row r="51" spans="2:33" ht="30.6" customHeight="1">
      <c r="B51" s="218" t="s">
        <v>2004</v>
      </c>
      <c r="C51" s="218"/>
      <c r="D51" s="218"/>
      <c r="E51" s="218" t="s">
        <v>2005</v>
      </c>
      <c r="F51" s="218"/>
      <c r="G51" s="218"/>
      <c r="H51" s="218" t="s">
        <v>55</v>
      </c>
      <c r="I51" s="218"/>
      <c r="J51" s="218"/>
      <c r="K51" s="218" t="s">
        <v>2006</v>
      </c>
      <c r="L51" s="218"/>
      <c r="M51" s="218"/>
      <c r="N51" s="218" t="s">
        <v>2001</v>
      </c>
      <c r="O51" s="218"/>
      <c r="P51" s="218"/>
      <c r="Q51" s="218"/>
      <c r="R51" s="218" t="s">
        <v>2002</v>
      </c>
      <c r="S51" s="218"/>
      <c r="T51" s="218"/>
      <c r="U51" s="218" t="s">
        <v>2007</v>
      </c>
      <c r="V51" s="218"/>
      <c r="W51" s="218"/>
      <c r="X51" s="218"/>
      <c r="Y51" s="218" t="s">
        <v>2003</v>
      </c>
      <c r="Z51" s="218"/>
      <c r="AA51" s="218"/>
      <c r="AB51" s="219" t="s">
        <v>2008</v>
      </c>
      <c r="AC51" s="219"/>
      <c r="AD51" s="219"/>
      <c r="AE51" s="219"/>
      <c r="AF51" s="218" t="s">
        <v>1992</v>
      </c>
      <c r="AG51" s="218"/>
    </row>
    <row r="53" spans="2:33" ht="22.5" customHeight="1"/>
  </sheetData>
  <mergeCells count="80">
    <mergeCell ref="AF51:AG51"/>
    <mergeCell ref="AF50:AG50"/>
    <mergeCell ref="B51:D51"/>
    <mergeCell ref="E51:G51"/>
    <mergeCell ref="H51:J51"/>
    <mergeCell ref="K51:M51"/>
    <mergeCell ref="N51:Q51"/>
    <mergeCell ref="R51:T51"/>
    <mergeCell ref="U51:X51"/>
    <mergeCell ref="Y51:AA51"/>
    <mergeCell ref="AB51:AE51"/>
    <mergeCell ref="B48:AF48"/>
    <mergeCell ref="B50:D50"/>
    <mergeCell ref="E50:G50"/>
    <mergeCell ref="H50:J50"/>
    <mergeCell ref="K50:M50"/>
    <mergeCell ref="N50:Q50"/>
    <mergeCell ref="R50:T50"/>
    <mergeCell ref="U50:X50"/>
    <mergeCell ref="Y50:AA50"/>
    <mergeCell ref="AB50:AE50"/>
    <mergeCell ref="AL38:AS39"/>
    <mergeCell ref="AT38:BE39"/>
    <mergeCell ref="BF38:BP39"/>
    <mergeCell ref="AL41:BP41"/>
    <mergeCell ref="I43:K43"/>
    <mergeCell ref="AL43:BP44"/>
    <mergeCell ref="AL34:AS35"/>
    <mergeCell ref="AT34:BE35"/>
    <mergeCell ref="BF34:BP35"/>
    <mergeCell ref="AL36:AS37"/>
    <mergeCell ref="AT36:BE37"/>
    <mergeCell ref="BF36:BP37"/>
    <mergeCell ref="R26:AE27"/>
    <mergeCell ref="AL29:BP29"/>
    <mergeCell ref="AL31:AS31"/>
    <mergeCell ref="AT31:BE31"/>
    <mergeCell ref="BF31:BP31"/>
    <mergeCell ref="AL32:AS33"/>
    <mergeCell ref="AT32:BE33"/>
    <mergeCell ref="BF32:BP33"/>
    <mergeCell ref="AL23:AM24"/>
    <mergeCell ref="AN23:AQ24"/>
    <mergeCell ref="AR23:BD24"/>
    <mergeCell ref="BE23:BH24"/>
    <mergeCell ref="BI23:BL24"/>
    <mergeCell ref="BM23:BP24"/>
    <mergeCell ref="BM21:BP22"/>
    <mergeCell ref="AL19:AM20"/>
    <mergeCell ref="AN19:AQ20"/>
    <mergeCell ref="AR19:BD20"/>
    <mergeCell ref="BE19:BH20"/>
    <mergeCell ref="BI19:BL20"/>
    <mergeCell ref="BM19:BP20"/>
    <mergeCell ref="AL21:AM22"/>
    <mergeCell ref="AN21:AQ22"/>
    <mergeCell ref="AR21:BD22"/>
    <mergeCell ref="BE21:BH22"/>
    <mergeCell ref="BI21:BL22"/>
    <mergeCell ref="BM17:BP18"/>
    <mergeCell ref="AL15:AM16"/>
    <mergeCell ref="AN15:AQ16"/>
    <mergeCell ref="AR15:BD16"/>
    <mergeCell ref="BE15:BH16"/>
    <mergeCell ref="BI15:BL16"/>
    <mergeCell ref="BM15:BP16"/>
    <mergeCell ref="AL17:AM18"/>
    <mergeCell ref="AN17:AQ18"/>
    <mergeCell ref="AR17:BD18"/>
    <mergeCell ref="BE17:BH18"/>
    <mergeCell ref="BI17:BL18"/>
    <mergeCell ref="D11:AE11"/>
    <mergeCell ref="D12:AE12"/>
    <mergeCell ref="AL12:BP12"/>
    <mergeCell ref="AL14:AM14"/>
    <mergeCell ref="AN14:AQ14"/>
    <mergeCell ref="AR14:BD14"/>
    <mergeCell ref="BE14:BH14"/>
    <mergeCell ref="BI14:BL14"/>
    <mergeCell ref="BM14:BP14"/>
  </mergeCells>
  <dataValidations count="2">
    <dataValidation type="list" allowBlank="1" showInputMessage="1" showErrorMessage="1" sqref="I42" xr:uid="{0CCF87A4-C429-4530-B174-CF515F09623F}">
      <formula1>"APP,INF"</formula1>
    </dataValidation>
    <dataValidation type="list" allowBlank="1" showInputMessage="1" showErrorMessage="1" sqref="I41" xr:uid="{171598EE-EDE4-45B1-8610-A61668A9B125}">
      <formula1>"Public,Restreint,Confidentiel"</formula1>
    </dataValidation>
  </dataValidations>
  <pageMargins left="0" right="0" top="0" bottom="0" header="0" footer="0"/>
  <pageSetup paperSize="9" scale="84" fitToWidth="2" orientation="portrait" horizontalDpi="1200" verticalDpi="1200" r:id="rId1"/>
  <colBreaks count="1" manualBreakCount="1">
    <brk id="3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68A43-4535-4468-9200-74C62F8511E5}">
  <sheetPr codeName="Feuil20">
    <tabColor rgb="FF00B050"/>
    <outlinePr summaryBelow="0" summaryRight="0"/>
    <pageSetUpPr fitToPage="1"/>
  </sheetPr>
  <dimension ref="A1:W133"/>
  <sheetViews>
    <sheetView showGridLines="0" view="pageBreakPreview" topLeftCell="F1" zoomScale="50" zoomScaleNormal="60" zoomScaleSheetLayoutView="50" zoomScalePageLayoutView="70" workbookViewId="0">
      <pane ySplit="6" topLeftCell="A127" activePane="bottomLeft" state="frozen"/>
      <selection activeCell="C33" sqref="C33"/>
      <selection pane="bottomLeft" activeCell="D7" sqref="D7:W133"/>
    </sheetView>
  </sheetViews>
  <sheetFormatPr baseColWidth="10" defaultColWidth="12.5" defaultRowHeight="15"/>
  <cols>
    <col min="1" max="1" width="3.3984375" style="14" hidden="1" customWidth="1"/>
    <col min="2" max="2" width="6.5" style="14" hidden="1" customWidth="1"/>
    <col min="3" max="3" width="16.8984375" style="73" hidden="1" customWidth="1"/>
    <col min="4" max="4" width="15.8984375" style="79" customWidth="1"/>
    <col min="5" max="5" width="3.59765625" style="14" customWidth="1"/>
    <col min="6" max="6" width="5.3984375" style="14" customWidth="1"/>
    <col min="7" max="7" width="35.3984375" style="14" customWidth="1"/>
    <col min="8" max="8" width="13" style="14" bestFit="1" customWidth="1"/>
    <col min="9" max="9" width="18.09765625" style="14" customWidth="1"/>
    <col min="10" max="10" width="3.09765625" style="14" customWidth="1"/>
    <col min="11" max="11" width="19.5" style="14" customWidth="1"/>
    <col min="12" max="12" width="11.59765625" style="14" customWidth="1"/>
    <col min="13" max="13" width="6.5" style="14" customWidth="1"/>
    <col min="14" max="14" width="22.8984375" style="14" customWidth="1"/>
    <col min="15" max="15" width="14.5" style="14" customWidth="1"/>
    <col min="16" max="16" width="16.5" style="14" customWidth="1"/>
    <col min="17" max="17" width="19.8984375" style="14" customWidth="1"/>
    <col min="18" max="18" width="5.59765625" style="15" customWidth="1"/>
    <col min="19" max="19" width="38.5" style="14" customWidth="1"/>
    <col min="20" max="20" width="23.8984375" style="14" customWidth="1"/>
    <col min="21" max="21" width="15.09765625" style="14" customWidth="1"/>
    <col min="22" max="22" width="16" style="14" customWidth="1"/>
    <col min="23" max="23" width="12" style="14" customWidth="1"/>
    <col min="24" max="16384" width="12.5" style="14"/>
  </cols>
  <sheetData>
    <row r="1" spans="2:23" ht="8.25" customHeight="1">
      <c r="C1" s="14"/>
      <c r="D1" s="14"/>
      <c r="F1" s="72"/>
      <c r="G1" s="72"/>
      <c r="M1" s="16"/>
      <c r="N1" s="16"/>
      <c r="O1" s="16"/>
      <c r="P1" s="16"/>
      <c r="Q1" s="16"/>
      <c r="W1" s="50"/>
    </row>
    <row r="2" spans="2:23" ht="6" customHeight="1">
      <c r="C2" s="93" t="s">
        <v>126</v>
      </c>
      <c r="D2" s="80"/>
    </row>
    <row r="3" spans="2:23" s="19" customFormat="1" ht="34.5" customHeight="1">
      <c r="C3" s="18"/>
      <c r="D3" s="91"/>
      <c r="F3" s="228" t="s">
        <v>1971</v>
      </c>
      <c r="G3" s="228"/>
      <c r="H3" s="228"/>
      <c r="I3" s="228"/>
      <c r="J3" s="228"/>
      <c r="K3" s="228"/>
      <c r="L3" s="228"/>
      <c r="M3" s="228"/>
      <c r="N3" s="228"/>
      <c r="O3" s="228"/>
      <c r="P3" s="228"/>
      <c r="Q3" s="228"/>
      <c r="R3" s="228"/>
      <c r="S3" s="228"/>
      <c r="T3" s="228"/>
      <c r="U3" s="228"/>
      <c r="V3" s="228"/>
      <c r="W3" s="228"/>
    </row>
    <row r="4" spans="2:23" s="47" customFormat="1" ht="72" customHeight="1">
      <c r="C4" s="17"/>
      <c r="D4" s="92"/>
      <c r="F4" s="48"/>
      <c r="G4" s="156" t="s">
        <v>1976</v>
      </c>
      <c r="H4" s="159" t="s">
        <v>2014</v>
      </c>
      <c r="I4" s="49"/>
      <c r="J4" s="48"/>
      <c r="K4" s="48"/>
      <c r="L4" s="49"/>
      <c r="M4" s="49"/>
      <c r="N4" s="49"/>
      <c r="O4" s="49"/>
      <c r="P4" s="49"/>
      <c r="Q4" s="49"/>
      <c r="R4" s="48"/>
      <c r="S4" s="49"/>
      <c r="T4" s="48"/>
      <c r="U4" s="49"/>
      <c r="V4" s="49"/>
      <c r="W4" s="48"/>
    </row>
    <row r="5" spans="2:23" s="47" customFormat="1" ht="72" customHeight="1">
      <c r="C5" s="14"/>
      <c r="D5" s="92"/>
      <c r="F5" s="48"/>
      <c r="G5" s="156" t="s">
        <v>1977</v>
      </c>
      <c r="H5" s="157" t="s">
        <v>1978</v>
      </c>
      <c r="I5" s="158"/>
      <c r="J5" s="157" t="s">
        <v>1979</v>
      </c>
      <c r="K5" s="158"/>
      <c r="L5" s="49"/>
      <c r="M5" s="49"/>
      <c r="N5" s="49"/>
      <c r="O5" s="49"/>
      <c r="P5" s="49"/>
      <c r="Q5" s="49"/>
      <c r="R5" s="48"/>
      <c r="S5" s="49"/>
      <c r="T5" s="48"/>
      <c r="U5" s="49"/>
      <c r="V5" s="49"/>
      <c r="W5" s="48"/>
    </row>
    <row r="6" spans="2:23" s="47" customFormat="1" ht="16.5" customHeight="1">
      <c r="C6" s="75"/>
      <c r="D6" s="79"/>
      <c r="F6" s="48"/>
      <c r="G6" s="49"/>
      <c r="H6" s="48"/>
      <c r="I6" s="49"/>
      <c r="J6" s="48"/>
      <c r="K6" s="48"/>
      <c r="L6" s="49"/>
      <c r="M6" s="49"/>
      <c r="N6" s="49"/>
      <c r="O6" s="49"/>
      <c r="P6" s="49"/>
      <c r="Q6" s="49"/>
      <c r="R6" s="48"/>
      <c r="S6" s="49"/>
      <c r="T6" s="48"/>
      <c r="U6" s="49"/>
      <c r="V6" s="49"/>
      <c r="W6" s="48"/>
    </row>
    <row r="7" spans="2:23" s="47" customFormat="1" ht="26.4" customHeight="1">
      <c r="D7" s="81"/>
      <c r="E7" s="90" t="s">
        <v>1063</v>
      </c>
      <c r="F7" s="48"/>
      <c r="H7" s="48"/>
      <c r="I7" s="49"/>
      <c r="J7" s="48"/>
      <c r="K7" s="48"/>
      <c r="L7" s="49"/>
      <c r="M7" s="49"/>
      <c r="N7" s="88">
        <f>SUM(K12,K24,K39,K50,K67,K80,K104,K115,K125)</f>
        <v>0</v>
      </c>
      <c r="O7" s="89" t="s">
        <v>32</v>
      </c>
      <c r="P7" s="49"/>
      <c r="Q7" s="49"/>
      <c r="R7" s="48"/>
      <c r="S7" s="49"/>
      <c r="T7" s="48"/>
      <c r="U7" s="49"/>
      <c r="V7" s="49"/>
      <c r="W7" s="48"/>
    </row>
    <row r="8" spans="2:23" s="73" customFormat="1" ht="23.25" customHeight="1">
      <c r="D8" s="82" t="s">
        <v>1056</v>
      </c>
      <c r="R8" s="76"/>
    </row>
    <row r="9" spans="2:23" s="73" customFormat="1" ht="15" customHeight="1">
      <c r="C9" s="74"/>
      <c r="D9" s="143"/>
    </row>
    <row r="10" spans="2:23" ht="15.6" thickBot="1">
      <c r="C10" s="74"/>
      <c r="D10" s="143"/>
      <c r="E10" s="43"/>
    </row>
    <row r="11" spans="2:23" ht="26.1" customHeight="1">
      <c r="C11" s="74"/>
      <c r="D11" s="220" t="s">
        <v>1931</v>
      </c>
      <c r="E11" s="73"/>
      <c r="F11" s="20" t="s">
        <v>1086</v>
      </c>
      <c r="G11" s="21"/>
      <c r="H11" s="21"/>
      <c r="I11" s="21"/>
      <c r="J11" s="21"/>
      <c r="K11" s="21"/>
      <c r="L11" s="21"/>
      <c r="M11" s="21"/>
      <c r="N11" s="21"/>
      <c r="O11" s="21"/>
      <c r="P11" s="21"/>
      <c r="Q11" s="21"/>
      <c r="R11" s="22"/>
      <c r="S11" s="21"/>
      <c r="T11" s="21"/>
      <c r="U11" s="21"/>
      <c r="V11" s="21"/>
      <c r="W11" s="21"/>
    </row>
    <row r="12" spans="2:23" ht="35.4" customHeight="1">
      <c r="B12" s="14">
        <f t="shared" ref="B12:B15" ca="1" si="0">1+ OFFSET(B12,-1,0)</f>
        <v>1</v>
      </c>
      <c r="C12" s="74"/>
      <c r="D12" s="221"/>
      <c r="E12" s="87"/>
      <c r="F12" s="23"/>
      <c r="G12" s="24"/>
      <c r="H12" s="24" t="s">
        <v>49</v>
      </c>
      <c r="I12" s="25"/>
      <c r="J12" s="25"/>
      <c r="K12" s="29">
        <f>SUM(K15:K20)</f>
        <v>0</v>
      </c>
      <c r="L12" s="30" t="s">
        <v>32</v>
      </c>
      <c r="M12" s="25"/>
      <c r="N12" s="25"/>
      <c r="O12" s="25"/>
      <c r="P12" s="25"/>
      <c r="Q12" s="25"/>
      <c r="R12" s="24"/>
      <c r="S12" s="25"/>
      <c r="T12" s="25"/>
      <c r="U12" s="25"/>
      <c r="V12" s="25"/>
      <c r="W12" s="25"/>
    </row>
    <row r="13" spans="2:23">
      <c r="C13" s="74"/>
      <c r="D13" s="221"/>
      <c r="E13" s="87"/>
      <c r="F13" s="23"/>
      <c r="G13" s="24"/>
      <c r="H13" s="24"/>
      <c r="I13" s="25"/>
      <c r="J13" s="25"/>
      <c r="K13" s="25"/>
      <c r="L13" s="25"/>
      <c r="M13" s="25"/>
      <c r="N13" s="25"/>
      <c r="O13" s="25"/>
      <c r="P13" s="25"/>
      <c r="Q13" s="25"/>
      <c r="R13" s="24"/>
      <c r="S13" s="25"/>
      <c r="T13" s="25"/>
      <c r="U13" s="25"/>
      <c r="V13" s="25"/>
      <c r="W13" s="25"/>
    </row>
    <row r="14" spans="2:23" ht="51" customHeight="1">
      <c r="B14" s="14">
        <f t="shared" ca="1" si="0"/>
        <v>1</v>
      </c>
      <c r="C14" s="74"/>
      <c r="D14" s="221"/>
      <c r="E14" s="77"/>
      <c r="F14" s="23"/>
      <c r="G14" s="33"/>
      <c r="H14" s="35" t="s">
        <v>1078</v>
      </c>
      <c r="I14" s="40" t="s">
        <v>36</v>
      </c>
      <c r="J14" s="25"/>
      <c r="K14" s="223" t="s">
        <v>1062</v>
      </c>
      <c r="L14" s="224"/>
      <c r="M14" s="25"/>
      <c r="N14" s="225" t="s">
        <v>1079</v>
      </c>
      <c r="O14" s="226"/>
      <c r="P14" s="227"/>
      <c r="Q14" s="144"/>
      <c r="R14" s="25"/>
      <c r="S14" s="36" t="s">
        <v>1956</v>
      </c>
      <c r="T14" s="25"/>
      <c r="U14" s="25"/>
      <c r="V14" s="25"/>
      <c r="W14" s="25"/>
    </row>
    <row r="15" spans="2:23" ht="60">
      <c r="B15" s="14">
        <f t="shared" ca="1" si="0"/>
        <v>2</v>
      </c>
      <c r="C15" s="74"/>
      <c r="D15" s="221"/>
      <c r="E15" s="73"/>
      <c r="F15" s="27"/>
      <c r="G15" s="32" t="s">
        <v>662</v>
      </c>
      <c r="H15" s="100" t="s">
        <v>1087</v>
      </c>
      <c r="I15" s="160"/>
      <c r="J15" s="25"/>
      <c r="K15" s="86">
        <f>I15*O15/1000</f>
        <v>0</v>
      </c>
      <c r="L15" s="84" t="s">
        <v>1057</v>
      </c>
      <c r="M15" s="25"/>
      <c r="N15" s="32" t="s">
        <v>47</v>
      </c>
      <c r="O15" s="104">
        <f>'FE MAJ'!C859/12.5</f>
        <v>0.105896</v>
      </c>
      <c r="P15" s="34" t="s">
        <v>1088</v>
      </c>
      <c r="Q15" s="24"/>
      <c r="R15" s="25"/>
      <c r="S15" s="31"/>
      <c r="T15" s="25"/>
      <c r="U15" s="25"/>
      <c r="V15" s="25"/>
      <c r="W15" s="25"/>
    </row>
    <row r="16" spans="2:23" ht="39.6" customHeight="1">
      <c r="C16" s="74"/>
      <c r="D16" s="221"/>
      <c r="E16" s="73"/>
      <c r="F16" s="27"/>
      <c r="G16" s="32" t="s">
        <v>1980</v>
      </c>
      <c r="H16" s="100" t="s">
        <v>1087</v>
      </c>
      <c r="I16" s="160"/>
      <c r="J16" s="25"/>
      <c r="K16" s="86">
        <f t="shared" ref="K16:K20" si="1">I16*O16/1000</f>
        <v>0</v>
      </c>
      <c r="L16" s="84" t="s">
        <v>1057</v>
      </c>
      <c r="M16" s="25"/>
      <c r="N16" s="32" t="str">
        <f>'FE MAJ'!A878</f>
        <v>Toupie     /T.km</v>
      </c>
      <c r="O16" s="104">
        <f>'FE MAJ'!C878</f>
        <v>0.25666666666666665</v>
      </c>
      <c r="P16" s="34" t="s">
        <v>1088</v>
      </c>
      <c r="Q16" s="24"/>
      <c r="R16" s="25"/>
      <c r="S16" s="31"/>
      <c r="T16" s="25"/>
      <c r="U16" s="25"/>
      <c r="V16" s="25"/>
      <c r="W16" s="25"/>
    </row>
    <row r="17" spans="2:23" ht="30">
      <c r="C17" s="74"/>
      <c r="D17" s="221"/>
      <c r="E17" s="73"/>
      <c r="F17" s="27"/>
      <c r="G17" s="32" t="s">
        <v>698</v>
      </c>
      <c r="H17" s="100" t="s">
        <v>1087</v>
      </c>
      <c r="I17" s="160"/>
      <c r="J17" s="25"/>
      <c r="K17" s="86">
        <f t="shared" si="1"/>
        <v>0</v>
      </c>
      <c r="L17" s="84" t="s">
        <v>1057</v>
      </c>
      <c r="M17" s="25"/>
      <c r="N17" s="32" t="s">
        <v>713</v>
      </c>
      <c r="O17" s="104">
        <v>1.0199999999999997E-2</v>
      </c>
      <c r="P17" s="34" t="s">
        <v>1088</v>
      </c>
      <c r="Q17" s="24"/>
      <c r="R17" s="25"/>
      <c r="S17" s="31"/>
      <c r="T17" s="25"/>
      <c r="U17" s="25"/>
      <c r="V17" s="25"/>
      <c r="W17" s="25"/>
    </row>
    <row r="18" spans="2:23" ht="30">
      <c r="C18" s="74"/>
      <c r="D18" s="221"/>
      <c r="E18" s="73"/>
      <c r="F18" s="27"/>
      <c r="G18" s="32" t="s">
        <v>781</v>
      </c>
      <c r="H18" s="100" t="s">
        <v>1087</v>
      </c>
      <c r="I18" s="160"/>
      <c r="J18" s="25"/>
      <c r="K18" s="86">
        <f t="shared" si="1"/>
        <v>0</v>
      </c>
      <c r="L18" s="84" t="s">
        <v>1057</v>
      </c>
      <c r="M18" s="25"/>
      <c r="N18" s="32" t="s">
        <v>1060</v>
      </c>
      <c r="O18" s="104">
        <v>5.0639999999999998E-2</v>
      </c>
      <c r="P18" s="34" t="s">
        <v>1088</v>
      </c>
      <c r="Q18" s="24"/>
      <c r="R18" s="25"/>
      <c r="S18" s="155"/>
      <c r="T18" s="25"/>
      <c r="U18" s="25"/>
      <c r="V18" s="25"/>
      <c r="W18" s="25"/>
    </row>
    <row r="19" spans="2:23" ht="30">
      <c r="C19" s="74"/>
      <c r="D19" s="221"/>
      <c r="E19" s="73"/>
      <c r="F19" s="27"/>
      <c r="G19" s="32" t="s">
        <v>767</v>
      </c>
      <c r="H19" s="100" t="s">
        <v>1087</v>
      </c>
      <c r="I19" s="160"/>
      <c r="J19" s="25"/>
      <c r="K19" s="86">
        <f t="shared" si="1"/>
        <v>0</v>
      </c>
      <c r="L19" s="84" t="s">
        <v>1057</v>
      </c>
      <c r="M19" s="25"/>
      <c r="N19" s="32" t="s">
        <v>770</v>
      </c>
      <c r="O19" s="104">
        <v>1.0666</v>
      </c>
      <c r="P19" s="34" t="s">
        <v>1088</v>
      </c>
      <c r="Q19" s="24"/>
      <c r="R19" s="25"/>
      <c r="S19" s="31"/>
      <c r="T19" s="25"/>
      <c r="U19" s="25"/>
      <c r="V19" s="25"/>
      <c r="W19" s="25"/>
    </row>
    <row r="20" spans="2:23" ht="30">
      <c r="C20" s="74"/>
      <c r="D20" s="221"/>
      <c r="E20" s="73"/>
      <c r="F20" s="27"/>
      <c r="G20" s="32" t="s">
        <v>721</v>
      </c>
      <c r="H20" s="100" t="s">
        <v>1087</v>
      </c>
      <c r="I20" s="160"/>
      <c r="J20" s="25"/>
      <c r="K20" s="86">
        <f t="shared" si="1"/>
        <v>0</v>
      </c>
      <c r="L20" s="84" t="s">
        <v>1057</v>
      </c>
      <c r="M20" s="25"/>
      <c r="N20" s="32" t="s">
        <v>755</v>
      </c>
      <c r="O20" s="104">
        <v>1.0734E-2</v>
      </c>
      <c r="P20" s="34" t="s">
        <v>1088</v>
      </c>
      <c r="Q20" s="24"/>
      <c r="R20" s="25"/>
      <c r="S20" s="31"/>
      <c r="T20" s="25"/>
      <c r="U20" s="25"/>
      <c r="V20" s="25"/>
      <c r="W20" s="25"/>
    </row>
    <row r="21" spans="2:23" ht="21.6" customHeight="1" thickBot="1">
      <c r="C21" s="74"/>
      <c r="D21" s="222"/>
      <c r="E21" s="73"/>
      <c r="F21" s="37"/>
      <c r="G21" s="38"/>
      <c r="H21" s="38"/>
      <c r="I21" s="38"/>
      <c r="J21" s="38"/>
      <c r="K21" s="38"/>
      <c r="L21" s="38"/>
      <c r="M21" s="38"/>
      <c r="N21" s="38"/>
      <c r="O21" s="38"/>
      <c r="P21" s="38"/>
      <c r="Q21" s="38"/>
      <c r="R21" s="39"/>
      <c r="S21" s="38"/>
      <c r="T21" s="38"/>
      <c r="U21" s="38"/>
      <c r="V21" s="38"/>
      <c r="W21" s="38"/>
    </row>
    <row r="22" spans="2:23" ht="15.6" thickBot="1">
      <c r="C22" s="74"/>
      <c r="D22" s="143"/>
      <c r="E22" s="73"/>
    </row>
    <row r="23" spans="2:23" ht="26.1" customHeight="1">
      <c r="C23" s="74"/>
      <c r="D23" s="220" t="s">
        <v>1952</v>
      </c>
      <c r="E23" s="73"/>
      <c r="F23" s="20" t="s">
        <v>1069</v>
      </c>
      <c r="G23" s="21"/>
      <c r="H23" s="21"/>
      <c r="I23" s="21"/>
      <c r="J23" s="21"/>
      <c r="K23" s="21"/>
      <c r="L23" s="21"/>
      <c r="M23" s="21"/>
      <c r="N23" s="21"/>
      <c r="O23" s="21"/>
      <c r="P23" s="21"/>
      <c r="Q23" s="21"/>
      <c r="R23" s="22"/>
      <c r="S23" s="21"/>
      <c r="T23" s="21"/>
      <c r="U23" s="21"/>
      <c r="V23" s="21"/>
      <c r="W23" s="21"/>
    </row>
    <row r="24" spans="2:23" ht="37.35" customHeight="1">
      <c r="B24" s="14">
        <f t="shared" ref="B24:B35" ca="1" si="2">1+ OFFSET(B24,-1,0)</f>
        <v>1</v>
      </c>
      <c r="C24" s="74"/>
      <c r="D24" s="221"/>
      <c r="E24" s="87"/>
      <c r="F24" s="23"/>
      <c r="G24" s="24"/>
      <c r="H24" s="24" t="s">
        <v>49</v>
      </c>
      <c r="I24" s="25"/>
      <c r="J24" s="25"/>
      <c r="K24" s="29">
        <f>SUM(K27:K35)</f>
        <v>0</v>
      </c>
      <c r="L24" s="30" t="s">
        <v>32</v>
      </c>
      <c r="M24" s="25"/>
      <c r="N24" s="25"/>
      <c r="O24" s="25"/>
      <c r="P24" s="25"/>
      <c r="Q24" s="25"/>
      <c r="R24" s="24"/>
      <c r="S24" s="25"/>
      <c r="T24" s="25"/>
      <c r="U24" s="25"/>
      <c r="V24" s="25"/>
      <c r="W24" s="25"/>
    </row>
    <row r="25" spans="2:23" ht="14.4" customHeight="1">
      <c r="C25" s="74"/>
      <c r="D25" s="221"/>
      <c r="E25" s="87"/>
      <c r="F25" s="23"/>
      <c r="G25" s="24"/>
      <c r="H25" s="24"/>
      <c r="I25" s="25"/>
      <c r="J25" s="25"/>
      <c r="K25" s="25"/>
      <c r="L25" s="25"/>
      <c r="M25" s="25"/>
      <c r="N25" s="25"/>
      <c r="O25" s="25"/>
      <c r="P25" s="25"/>
      <c r="Q25" s="25"/>
      <c r="R25" s="24"/>
      <c r="S25" s="25"/>
      <c r="T25" s="25"/>
      <c r="U25" s="25"/>
      <c r="V25" s="25"/>
      <c r="W25" s="25"/>
    </row>
    <row r="26" spans="2:23" ht="51" customHeight="1">
      <c r="B26" s="14">
        <f t="shared" ca="1" si="2"/>
        <v>1</v>
      </c>
      <c r="C26" s="74"/>
      <c r="D26" s="221"/>
      <c r="E26" s="77"/>
      <c r="F26" s="23"/>
      <c r="G26" s="33"/>
      <c r="H26" s="35" t="s">
        <v>1078</v>
      </c>
      <c r="I26" s="40" t="s">
        <v>36</v>
      </c>
      <c r="J26" s="25"/>
      <c r="K26" s="98" t="s">
        <v>1062</v>
      </c>
      <c r="L26" s="99"/>
      <c r="M26" s="25"/>
      <c r="N26" s="95" t="s">
        <v>1079</v>
      </c>
      <c r="O26" s="96"/>
      <c r="P26" s="97"/>
      <c r="Q26" s="144"/>
      <c r="R26" s="25"/>
      <c r="S26" s="36" t="s">
        <v>1956</v>
      </c>
      <c r="T26" s="25"/>
      <c r="U26" s="25"/>
      <c r="V26" s="25"/>
      <c r="W26" s="25"/>
    </row>
    <row r="27" spans="2:23" ht="30">
      <c r="B27" s="14">
        <f t="shared" ca="1" si="2"/>
        <v>2</v>
      </c>
      <c r="C27" s="74"/>
      <c r="D27" s="221"/>
      <c r="E27" s="73"/>
      <c r="F27" s="27"/>
      <c r="G27" s="32" t="s">
        <v>1070</v>
      </c>
      <c r="H27" s="100" t="s">
        <v>1068</v>
      </c>
      <c r="I27" s="160"/>
      <c r="J27" s="25"/>
      <c r="K27" s="86">
        <f t="shared" ref="K27:K35" si="3">I27*O27/1000</f>
        <v>0</v>
      </c>
      <c r="L27" s="84" t="s">
        <v>1057</v>
      </c>
      <c r="M27" s="25"/>
      <c r="N27" s="32" t="s">
        <v>897</v>
      </c>
      <c r="O27" s="41">
        <v>2.7</v>
      </c>
      <c r="P27" s="34" t="s">
        <v>1084</v>
      </c>
      <c r="Q27" s="24"/>
      <c r="R27" s="25"/>
      <c r="S27" s="31"/>
      <c r="T27" s="25"/>
      <c r="U27" s="25"/>
      <c r="V27" s="25"/>
      <c r="W27" s="25"/>
    </row>
    <row r="28" spans="2:23" ht="23.25" customHeight="1">
      <c r="C28" s="74"/>
      <c r="D28" s="221"/>
      <c r="E28" s="73"/>
      <c r="F28" s="27"/>
      <c r="G28" s="32" t="s">
        <v>1071</v>
      </c>
      <c r="H28" s="100" t="s">
        <v>1068</v>
      </c>
      <c r="I28" s="160"/>
      <c r="J28" s="25"/>
      <c r="K28" s="86">
        <f t="shared" si="3"/>
        <v>0</v>
      </c>
      <c r="L28" s="84" t="s">
        <v>1057</v>
      </c>
      <c r="M28" s="25"/>
      <c r="N28" s="34" t="s">
        <v>1802</v>
      </c>
      <c r="O28" s="41">
        <v>3.1</v>
      </c>
      <c r="P28" s="34" t="s">
        <v>1084</v>
      </c>
      <c r="Q28" s="24"/>
      <c r="R28" s="25"/>
      <c r="S28" s="31"/>
      <c r="T28" s="25"/>
      <c r="U28" s="25"/>
      <c r="V28" s="25"/>
      <c r="W28" s="25"/>
    </row>
    <row r="29" spans="2:23" ht="31.35" customHeight="1">
      <c r="C29" s="74"/>
      <c r="D29" s="221"/>
      <c r="E29" s="73"/>
      <c r="F29" s="27"/>
      <c r="G29" s="32" t="s">
        <v>1972</v>
      </c>
      <c r="H29" s="100" t="s">
        <v>1068</v>
      </c>
      <c r="I29" s="161"/>
      <c r="J29" s="25"/>
      <c r="K29" s="86">
        <f>I29*O29/1000</f>
        <v>0</v>
      </c>
      <c r="L29" s="85" t="s">
        <v>1057</v>
      </c>
      <c r="M29" s="25"/>
      <c r="N29" s="32" t="s">
        <v>51</v>
      </c>
      <c r="O29" s="142">
        <f>'FE MAJ'!C1244</f>
        <v>0.17399999999999999</v>
      </c>
      <c r="P29" s="34" t="s">
        <v>1084</v>
      </c>
      <c r="Q29" s="24"/>
      <c r="R29" s="25"/>
      <c r="S29" s="31"/>
      <c r="T29" s="25"/>
      <c r="U29" s="25"/>
      <c r="V29" s="25"/>
      <c r="W29" s="25"/>
    </row>
    <row r="30" spans="2:23" ht="21.75" customHeight="1">
      <c r="C30" s="74"/>
      <c r="D30" s="221"/>
      <c r="E30" s="73"/>
      <c r="F30" s="27"/>
      <c r="G30" s="32" t="s">
        <v>1072</v>
      </c>
      <c r="H30" s="100" t="s">
        <v>1068</v>
      </c>
      <c r="I30" s="160"/>
      <c r="J30" s="25"/>
      <c r="K30" s="86">
        <f t="shared" si="3"/>
        <v>0</v>
      </c>
      <c r="L30" s="84" t="s">
        <v>1057</v>
      </c>
      <c r="M30" s="25"/>
      <c r="N30" s="32" t="s">
        <v>905</v>
      </c>
      <c r="O30" s="41">
        <v>1.1100000000000001</v>
      </c>
      <c r="P30" s="34" t="s">
        <v>1084</v>
      </c>
      <c r="Q30" s="24"/>
      <c r="R30" s="25"/>
      <c r="S30" s="31"/>
      <c r="T30" s="25"/>
      <c r="U30" s="25"/>
      <c r="V30" s="25"/>
      <c r="W30" s="25"/>
    </row>
    <row r="31" spans="2:23" ht="21.75" customHeight="1">
      <c r="C31" s="74"/>
      <c r="D31" s="221"/>
      <c r="E31" s="73"/>
      <c r="F31" s="27"/>
      <c r="G31" s="32" t="s">
        <v>1073</v>
      </c>
      <c r="H31" s="100" t="s">
        <v>1068</v>
      </c>
      <c r="I31" s="160"/>
      <c r="J31" s="25"/>
      <c r="K31" s="86">
        <f t="shared" si="3"/>
        <v>0</v>
      </c>
      <c r="L31" s="84" t="s">
        <v>1057</v>
      </c>
      <c r="M31" s="25"/>
      <c r="N31" s="32" t="s">
        <v>1812</v>
      </c>
      <c r="O31" s="141">
        <v>2.64</v>
      </c>
      <c r="P31" s="34" t="s">
        <v>1084</v>
      </c>
      <c r="Q31" s="24"/>
      <c r="R31" s="25"/>
      <c r="S31" s="31"/>
      <c r="T31" s="25"/>
      <c r="U31" s="25"/>
      <c r="V31" s="25"/>
      <c r="W31" s="25"/>
    </row>
    <row r="32" spans="2:23" ht="30">
      <c r="C32" s="74"/>
      <c r="D32" s="221"/>
      <c r="E32" s="73"/>
      <c r="F32" s="27"/>
      <c r="G32" s="32" t="s">
        <v>1074</v>
      </c>
      <c r="H32" s="100" t="s">
        <v>55</v>
      </c>
      <c r="I32" s="160"/>
      <c r="J32" s="25"/>
      <c r="K32" s="86">
        <f t="shared" si="3"/>
        <v>0</v>
      </c>
      <c r="L32" s="84" t="s">
        <v>1057</v>
      </c>
      <c r="M32" s="25"/>
      <c r="N32" s="32" t="s">
        <v>921</v>
      </c>
      <c r="O32" s="142">
        <v>3280</v>
      </c>
      <c r="P32" s="34" t="s">
        <v>1083</v>
      </c>
      <c r="Q32" s="24"/>
      <c r="R32" s="25"/>
      <c r="S32" s="31"/>
      <c r="T32" s="25"/>
      <c r="U32" s="25"/>
      <c r="V32" s="25"/>
      <c r="W32" s="25"/>
    </row>
    <row r="33" spans="1:23" ht="30">
      <c r="C33" s="74"/>
      <c r="D33" s="221"/>
      <c r="E33" s="73"/>
      <c r="F33" s="27"/>
      <c r="G33" s="32" t="s">
        <v>1075</v>
      </c>
      <c r="H33" s="100" t="s">
        <v>1068</v>
      </c>
      <c r="I33" s="160"/>
      <c r="J33" s="25"/>
      <c r="K33" s="86">
        <f t="shared" si="3"/>
        <v>0</v>
      </c>
      <c r="L33" s="84" t="s">
        <v>1057</v>
      </c>
      <c r="M33" s="25"/>
      <c r="N33" s="32" t="s">
        <v>916</v>
      </c>
      <c r="O33" s="142">
        <v>1.86</v>
      </c>
      <c r="P33" s="34" t="s">
        <v>1084</v>
      </c>
      <c r="Q33" s="24"/>
      <c r="R33" s="25"/>
      <c r="S33" s="31"/>
      <c r="T33" s="25"/>
      <c r="U33" s="25"/>
      <c r="V33" s="25"/>
      <c r="W33" s="25"/>
    </row>
    <row r="34" spans="1:23" ht="30">
      <c r="C34" s="74"/>
      <c r="D34" s="221"/>
      <c r="E34" s="73"/>
      <c r="F34" s="27"/>
      <c r="G34" s="32" t="s">
        <v>1076</v>
      </c>
      <c r="H34" s="100" t="s">
        <v>74</v>
      </c>
      <c r="I34" s="160"/>
      <c r="J34" s="25"/>
      <c r="K34" s="86">
        <f t="shared" si="3"/>
        <v>0</v>
      </c>
      <c r="L34" s="84" t="s">
        <v>1057</v>
      </c>
      <c r="M34" s="25"/>
      <c r="N34" s="32" t="s">
        <v>922</v>
      </c>
      <c r="O34" s="142">
        <v>3.28</v>
      </c>
      <c r="P34" s="34" t="s">
        <v>1085</v>
      </c>
      <c r="Q34" s="24"/>
      <c r="R34" s="25"/>
      <c r="S34" s="31"/>
      <c r="T34" s="25"/>
      <c r="U34" s="25"/>
      <c r="V34" s="25"/>
      <c r="W34" s="25"/>
    </row>
    <row r="35" spans="1:23" ht="60">
      <c r="B35" s="14">
        <f t="shared" ca="1" si="2"/>
        <v>1</v>
      </c>
      <c r="C35" s="74"/>
      <c r="D35" s="221"/>
      <c r="E35" s="73"/>
      <c r="F35" s="27"/>
      <c r="G35" s="32" t="s">
        <v>1077</v>
      </c>
      <c r="H35" s="100" t="s">
        <v>1068</v>
      </c>
      <c r="I35" s="103"/>
      <c r="J35" s="25"/>
      <c r="K35" s="86">
        <f t="shared" si="3"/>
        <v>0</v>
      </c>
      <c r="L35" s="85" t="s">
        <v>1057</v>
      </c>
      <c r="M35" s="25"/>
      <c r="N35" s="32" t="s">
        <v>1788</v>
      </c>
      <c r="O35" s="142">
        <v>0.84799999999999998</v>
      </c>
      <c r="P35" s="34" t="s">
        <v>1084</v>
      </c>
      <c r="Q35" s="24"/>
      <c r="R35" s="25"/>
      <c r="S35" s="31"/>
      <c r="T35" s="25"/>
      <c r="U35" s="25"/>
      <c r="V35" s="25"/>
      <c r="W35" s="25"/>
    </row>
    <row r="36" spans="1:23" ht="21.6" customHeight="1">
      <c r="C36" s="74"/>
      <c r="D36" s="221"/>
      <c r="E36" s="73"/>
      <c r="F36" s="25"/>
      <c r="G36" s="25"/>
      <c r="H36" s="154"/>
      <c r="I36" s="154"/>
      <c r="J36" s="25"/>
      <c r="K36" s="25"/>
      <c r="L36" s="25"/>
      <c r="M36" s="25"/>
      <c r="N36" s="25"/>
      <c r="O36" s="25"/>
      <c r="P36" s="25"/>
      <c r="Q36" s="25"/>
      <c r="R36" s="24"/>
      <c r="S36" s="25"/>
      <c r="T36" s="25"/>
      <c r="U36" s="25"/>
      <c r="V36" s="25"/>
      <c r="W36" s="25"/>
    </row>
    <row r="37" spans="1:23">
      <c r="A37" s="14">
        <v>0</v>
      </c>
      <c r="B37" s="14">
        <f t="shared" ref="B37" ca="1" si="4">1+ OFFSET(B37,-1,0)</f>
        <v>1</v>
      </c>
      <c r="C37" s="74"/>
      <c r="D37" s="221"/>
      <c r="E37" s="73"/>
    </row>
    <row r="38" spans="1:23" ht="26.1" customHeight="1">
      <c r="C38" s="74"/>
      <c r="D38" s="221"/>
      <c r="E38" s="73"/>
      <c r="F38" s="20" t="s">
        <v>1932</v>
      </c>
      <c r="G38" s="21"/>
      <c r="H38" s="21"/>
      <c r="I38" s="21"/>
      <c r="J38" s="21"/>
      <c r="K38" s="21"/>
      <c r="L38" s="21"/>
      <c r="M38" s="21"/>
      <c r="N38" s="21"/>
      <c r="O38" s="21"/>
      <c r="P38" s="21"/>
      <c r="Q38" s="21"/>
      <c r="R38" s="22"/>
      <c r="S38" s="21"/>
      <c r="T38" s="21"/>
      <c r="U38" s="21"/>
      <c r="V38" s="21"/>
      <c r="W38" s="21"/>
    </row>
    <row r="39" spans="1:23" ht="28.35" customHeight="1">
      <c r="B39" s="14">
        <f t="shared" ref="B39:B42" ca="1" si="5">1+ OFFSET(B39,-1,0)</f>
        <v>1</v>
      </c>
      <c r="C39" s="74"/>
      <c r="D39" s="221"/>
      <c r="E39" s="87"/>
      <c r="F39" s="23"/>
      <c r="G39" s="24"/>
      <c r="H39" s="24" t="s">
        <v>49</v>
      </c>
      <c r="I39" s="25"/>
      <c r="J39" s="25"/>
      <c r="K39" s="29">
        <f>SUM(K42:K46)</f>
        <v>0</v>
      </c>
      <c r="L39" s="30" t="s">
        <v>32</v>
      </c>
      <c r="M39" s="25"/>
      <c r="N39" s="25"/>
      <c r="O39" s="25"/>
      <c r="P39" s="25"/>
      <c r="Q39" s="25"/>
      <c r="R39" s="24"/>
      <c r="S39" s="25"/>
      <c r="T39" s="25"/>
      <c r="U39" s="25"/>
      <c r="V39" s="25"/>
      <c r="W39" s="25"/>
    </row>
    <row r="40" spans="1:23">
      <c r="C40" s="74"/>
      <c r="D40" s="221"/>
      <c r="E40" s="87"/>
      <c r="F40" s="23"/>
      <c r="G40" s="24"/>
      <c r="H40" s="24"/>
      <c r="I40" s="25"/>
      <c r="J40" s="25"/>
      <c r="K40" s="25"/>
      <c r="L40" s="25"/>
      <c r="M40" s="25"/>
      <c r="N40" s="25"/>
      <c r="O40" s="25"/>
      <c r="P40" s="25"/>
      <c r="Q40" s="25"/>
      <c r="R40" s="24"/>
      <c r="S40" s="25"/>
      <c r="T40" s="25"/>
      <c r="U40" s="25"/>
      <c r="V40" s="25"/>
      <c r="W40" s="25"/>
    </row>
    <row r="41" spans="1:23" ht="51" customHeight="1">
      <c r="B41" s="14">
        <f t="shared" ca="1" si="5"/>
        <v>1</v>
      </c>
      <c r="C41" s="74"/>
      <c r="D41" s="221"/>
      <c r="E41" s="77"/>
      <c r="F41" s="23"/>
      <c r="G41" s="33"/>
      <c r="H41" s="35" t="s">
        <v>1078</v>
      </c>
      <c r="I41" s="40" t="s">
        <v>36</v>
      </c>
      <c r="J41" s="25"/>
      <c r="K41" s="223" t="s">
        <v>1062</v>
      </c>
      <c r="L41" s="224"/>
      <c r="M41" s="25"/>
      <c r="N41" s="225" t="s">
        <v>1079</v>
      </c>
      <c r="O41" s="226"/>
      <c r="P41" s="227"/>
      <c r="Q41" s="144"/>
      <c r="R41" s="25"/>
      <c r="S41" s="36" t="s">
        <v>1956</v>
      </c>
      <c r="T41" s="25"/>
      <c r="U41" s="25"/>
      <c r="V41" s="25"/>
      <c r="W41" s="25"/>
    </row>
    <row r="42" spans="1:23" ht="35.25" customHeight="1">
      <c r="B42" s="14">
        <f t="shared" ca="1" si="5"/>
        <v>2</v>
      </c>
      <c r="C42" s="74"/>
      <c r="D42" s="221"/>
      <c r="E42" s="73"/>
      <c r="F42" s="27"/>
      <c r="G42" s="32" t="s">
        <v>1097</v>
      </c>
      <c r="H42" s="100" t="s">
        <v>55</v>
      </c>
      <c r="I42" s="160"/>
      <c r="J42" s="25"/>
      <c r="K42" s="86">
        <f>I42*O42/1000</f>
        <v>0</v>
      </c>
      <c r="L42" s="84" t="s">
        <v>1057</v>
      </c>
      <c r="M42" s="25"/>
      <c r="N42" s="32" t="s">
        <v>54</v>
      </c>
      <c r="O42" s="42">
        <v>1041</v>
      </c>
      <c r="P42" s="34" t="s">
        <v>1083</v>
      </c>
      <c r="Q42" s="24"/>
      <c r="R42" s="25"/>
      <c r="S42" s="31"/>
      <c r="T42" s="25"/>
      <c r="U42" s="25"/>
      <c r="V42" s="25"/>
      <c r="W42" s="25"/>
    </row>
    <row r="43" spans="1:23" ht="30">
      <c r="C43" s="74"/>
      <c r="D43" s="221"/>
      <c r="E43" s="73"/>
      <c r="F43" s="27"/>
      <c r="G43" s="32" t="s">
        <v>1095</v>
      </c>
      <c r="H43" s="100" t="s">
        <v>55</v>
      </c>
      <c r="I43" s="160"/>
      <c r="J43" s="25"/>
      <c r="K43" s="86">
        <f>I43*O43/1000</f>
        <v>0</v>
      </c>
      <c r="L43" s="84" t="s">
        <v>1057</v>
      </c>
      <c r="M43" s="25"/>
      <c r="N43" s="32" t="s">
        <v>1058</v>
      </c>
      <c r="O43" s="42">
        <v>866</v>
      </c>
      <c r="P43" s="34" t="s">
        <v>1083</v>
      </c>
      <c r="Q43" s="24"/>
      <c r="R43" s="25"/>
      <c r="S43" s="31"/>
      <c r="T43" s="25"/>
      <c r="U43" s="25"/>
      <c r="V43" s="25"/>
      <c r="W43" s="25"/>
    </row>
    <row r="44" spans="1:23" ht="24.75" customHeight="1">
      <c r="C44" s="74"/>
      <c r="D44" s="221"/>
      <c r="E44" s="73"/>
      <c r="F44" s="27"/>
      <c r="G44" s="32" t="s">
        <v>1098</v>
      </c>
      <c r="H44" s="100" t="s">
        <v>55</v>
      </c>
      <c r="I44" s="160"/>
      <c r="J44" s="25"/>
      <c r="K44" s="86">
        <f>I44*O44/1000</f>
        <v>0</v>
      </c>
      <c r="L44" s="84" t="s">
        <v>1057</v>
      </c>
      <c r="M44" s="25"/>
      <c r="N44" s="32" t="s">
        <v>57</v>
      </c>
      <c r="O44" s="42">
        <v>1100</v>
      </c>
      <c r="P44" s="34" t="s">
        <v>1083</v>
      </c>
      <c r="Q44" s="24"/>
      <c r="R44" s="25"/>
      <c r="S44" s="31"/>
      <c r="T44" s="25"/>
      <c r="U44" s="25"/>
      <c r="V44" s="25"/>
      <c r="W44" s="25"/>
    </row>
    <row r="45" spans="1:23" ht="30">
      <c r="C45" s="74"/>
      <c r="D45" s="221"/>
      <c r="E45" s="73"/>
      <c r="F45" s="27"/>
      <c r="G45" s="32" t="s">
        <v>1096</v>
      </c>
      <c r="H45" s="100" t="s">
        <v>55</v>
      </c>
      <c r="I45" s="160"/>
      <c r="J45" s="25"/>
      <c r="K45" s="86">
        <f>I45*O45/1000</f>
        <v>0</v>
      </c>
      <c r="L45" s="84" t="s">
        <v>1057</v>
      </c>
      <c r="M45" s="25"/>
      <c r="N45" s="32" t="s">
        <v>1267</v>
      </c>
      <c r="O45" s="42">
        <v>245.1</v>
      </c>
      <c r="P45" s="34" t="s">
        <v>1083</v>
      </c>
      <c r="Q45" s="24"/>
      <c r="R45" s="25"/>
      <c r="S45" s="31"/>
      <c r="T45" s="25"/>
      <c r="U45" s="25"/>
      <c r="V45" s="25"/>
      <c r="W45" s="25"/>
    </row>
    <row r="46" spans="1:23" ht="41.1" customHeight="1">
      <c r="B46" s="14">
        <f t="shared" ref="B46" ca="1" si="6">1+ OFFSET(B46,-1,0)</f>
        <v>1</v>
      </c>
      <c r="C46" s="74"/>
      <c r="D46" s="221"/>
      <c r="E46" s="73"/>
      <c r="F46" s="27"/>
      <c r="G46" s="32" t="s">
        <v>1967</v>
      </c>
      <c r="H46" s="162"/>
      <c r="I46" s="103"/>
      <c r="J46" s="25"/>
      <c r="K46" s="86">
        <f>I46*O46/1000</f>
        <v>0</v>
      </c>
      <c r="L46" s="85" t="s">
        <v>1057</v>
      </c>
      <c r="M46" s="25"/>
      <c r="N46" s="103"/>
      <c r="O46" s="142"/>
      <c r="P46" s="142"/>
      <c r="Q46" s="24"/>
      <c r="R46" s="25"/>
      <c r="S46" s="31"/>
      <c r="T46" s="25"/>
      <c r="U46" s="25"/>
      <c r="V46" s="25"/>
      <c r="W46" s="25"/>
    </row>
    <row r="47" spans="1:23" ht="21.6" customHeight="1" thickBot="1">
      <c r="C47" s="74"/>
      <c r="D47" s="222"/>
      <c r="E47" s="73"/>
      <c r="F47" s="37"/>
      <c r="G47" s="38"/>
      <c r="H47" s="38"/>
      <c r="I47" s="38"/>
      <c r="J47" s="38"/>
      <c r="K47" s="38"/>
      <c r="L47" s="38"/>
      <c r="M47" s="38"/>
      <c r="N47" s="38"/>
      <c r="O47" s="38"/>
      <c r="P47" s="38"/>
      <c r="Q47" s="38"/>
      <c r="R47" s="39"/>
      <c r="S47" s="38"/>
      <c r="T47" s="38"/>
      <c r="U47" s="38"/>
      <c r="V47" s="38"/>
      <c r="W47" s="38"/>
    </row>
    <row r="48" spans="1:23" ht="15.6" thickBot="1">
      <c r="C48" s="74"/>
      <c r="D48" s="143"/>
      <c r="E48" s="73"/>
    </row>
    <row r="49" spans="2:23" ht="26.1" customHeight="1">
      <c r="C49" s="74"/>
      <c r="D49" s="220" t="s">
        <v>1934</v>
      </c>
      <c r="E49" s="73"/>
      <c r="F49" s="20" t="s">
        <v>1953</v>
      </c>
      <c r="G49" s="21"/>
      <c r="H49" s="21"/>
      <c r="I49" s="21"/>
      <c r="J49" s="21"/>
      <c r="K49" s="21"/>
      <c r="L49" s="21"/>
      <c r="M49" s="21"/>
      <c r="N49" s="21"/>
      <c r="O49" s="21"/>
      <c r="P49" s="21"/>
      <c r="Q49" s="21"/>
      <c r="R49" s="22"/>
      <c r="S49" s="21"/>
      <c r="T49" s="21"/>
      <c r="U49" s="21"/>
      <c r="V49" s="21"/>
      <c r="W49" s="21"/>
    </row>
    <row r="50" spans="2:23" ht="28.35" customHeight="1">
      <c r="B50" s="14">
        <f t="shared" ref="B50:B54" ca="1" si="7">1+ OFFSET(B50,-1,0)</f>
        <v>1</v>
      </c>
      <c r="C50" s="74"/>
      <c r="D50" s="221"/>
      <c r="E50" s="87"/>
      <c r="F50" s="23"/>
      <c r="G50" s="24"/>
      <c r="H50" s="24" t="s">
        <v>49</v>
      </c>
      <c r="I50" s="25"/>
      <c r="J50" s="25"/>
      <c r="K50" s="29">
        <f>SUM(K53:K63)</f>
        <v>0</v>
      </c>
      <c r="L50" s="30" t="s">
        <v>32</v>
      </c>
      <c r="M50" s="25"/>
      <c r="N50" s="25"/>
      <c r="O50" s="25"/>
      <c r="P50" s="25"/>
      <c r="Q50" s="25"/>
      <c r="R50" s="24"/>
      <c r="S50" s="25"/>
      <c r="T50" s="25"/>
      <c r="U50" s="25"/>
      <c r="V50" s="25"/>
      <c r="W50" s="25"/>
    </row>
    <row r="51" spans="2:23">
      <c r="C51" s="74"/>
      <c r="D51" s="221"/>
      <c r="E51" s="87"/>
      <c r="F51" s="23"/>
      <c r="G51" s="24"/>
      <c r="H51" s="24"/>
      <c r="I51" s="25"/>
      <c r="J51" s="25"/>
      <c r="K51" s="25"/>
      <c r="L51" s="25"/>
      <c r="M51" s="25"/>
      <c r="N51" s="25"/>
      <c r="O51" s="25"/>
      <c r="P51" s="25"/>
      <c r="Q51" s="25"/>
      <c r="R51" s="24"/>
      <c r="S51" s="25"/>
      <c r="T51" s="25"/>
      <c r="U51" s="25"/>
      <c r="V51" s="25"/>
      <c r="W51" s="25"/>
    </row>
    <row r="52" spans="2:23" ht="51" customHeight="1">
      <c r="B52" s="14">
        <f t="shared" ca="1" si="7"/>
        <v>1</v>
      </c>
      <c r="C52" s="74"/>
      <c r="D52" s="221"/>
      <c r="E52" s="77"/>
      <c r="F52" s="23"/>
      <c r="G52" s="33"/>
      <c r="H52" s="35" t="s">
        <v>1078</v>
      </c>
      <c r="I52" s="40" t="s">
        <v>36</v>
      </c>
      <c r="J52" s="25"/>
      <c r="K52" s="223" t="s">
        <v>1062</v>
      </c>
      <c r="L52" s="224"/>
      <c r="M52" s="25"/>
      <c r="N52" s="225" t="s">
        <v>1079</v>
      </c>
      <c r="O52" s="226"/>
      <c r="P52" s="227"/>
      <c r="Q52" s="144"/>
      <c r="R52" s="25"/>
      <c r="S52" s="36" t="s">
        <v>1956</v>
      </c>
      <c r="T52" s="25"/>
      <c r="U52" s="25"/>
      <c r="V52" s="25"/>
      <c r="W52" s="25"/>
    </row>
    <row r="53" spans="2:23" ht="27.6" customHeight="1">
      <c r="C53" s="74"/>
      <c r="D53" s="221"/>
      <c r="E53" s="73"/>
      <c r="F53" s="27"/>
      <c r="G53" s="32" t="s">
        <v>1928</v>
      </c>
      <c r="H53" s="100" t="s">
        <v>44</v>
      </c>
      <c r="I53" s="160"/>
      <c r="J53" s="25"/>
      <c r="K53" s="86">
        <f>I53*O53/1000</f>
        <v>0</v>
      </c>
      <c r="L53" s="84" t="s">
        <v>1057</v>
      </c>
      <c r="M53" s="25"/>
      <c r="N53" s="32" t="s">
        <v>70</v>
      </c>
      <c r="O53" s="104">
        <v>202.39999999999998</v>
      </c>
      <c r="P53" s="34" t="s">
        <v>1866</v>
      </c>
      <c r="Q53" s="24"/>
      <c r="R53" s="25"/>
      <c r="S53" s="31"/>
      <c r="T53" s="25"/>
      <c r="U53" s="25"/>
      <c r="V53" s="25"/>
      <c r="W53" s="25"/>
    </row>
    <row r="54" spans="2:23" ht="45">
      <c r="B54" s="14">
        <f t="shared" ca="1" si="7"/>
        <v>1</v>
      </c>
      <c r="C54" s="74"/>
      <c r="D54" s="221"/>
      <c r="E54" s="73"/>
      <c r="F54" s="27"/>
      <c r="G54" s="32" t="s">
        <v>1983</v>
      </c>
      <c r="H54" s="100" t="s">
        <v>44</v>
      </c>
      <c r="I54" s="160"/>
      <c r="J54" s="25"/>
      <c r="K54" s="86">
        <f t="shared" ref="K54:K60" si="8">I54*O54/1000</f>
        <v>0</v>
      </c>
      <c r="L54" s="84" t="s">
        <v>1057</v>
      </c>
      <c r="M54" s="25"/>
      <c r="N54" s="32" t="s">
        <v>1106</v>
      </c>
      <c r="O54" s="104">
        <v>115</v>
      </c>
      <c r="P54" s="34" t="s">
        <v>1866</v>
      </c>
      <c r="Q54" s="24"/>
      <c r="R54" s="25"/>
      <c r="S54" s="163"/>
      <c r="T54" s="25"/>
      <c r="U54" s="25"/>
      <c r="V54" s="25"/>
      <c r="W54" s="25"/>
    </row>
    <row r="55" spans="2:23" ht="45">
      <c r="C55" s="74"/>
      <c r="D55" s="221"/>
      <c r="E55" s="73"/>
      <c r="F55" s="27"/>
      <c r="G55" s="32" t="s">
        <v>1982</v>
      </c>
      <c r="H55" s="100" t="s">
        <v>44</v>
      </c>
      <c r="I55" s="160"/>
      <c r="J55" s="25"/>
      <c r="K55" s="86">
        <f t="shared" si="8"/>
        <v>0</v>
      </c>
      <c r="L55" s="84" t="s">
        <v>1057</v>
      </c>
      <c r="M55" s="25"/>
      <c r="N55" s="32" t="s">
        <v>1108</v>
      </c>
      <c r="O55" s="104">
        <v>148</v>
      </c>
      <c r="P55" s="34" t="s">
        <v>1866</v>
      </c>
      <c r="Q55" s="24"/>
      <c r="R55" s="25"/>
      <c r="S55" s="163"/>
      <c r="T55" s="25"/>
      <c r="U55" s="25"/>
      <c r="V55" s="25"/>
      <c r="W55" s="25"/>
    </row>
    <row r="56" spans="2:23">
      <c r="C56" s="74"/>
      <c r="D56" s="221"/>
      <c r="E56" s="73"/>
      <c r="F56" s="27"/>
      <c r="G56" s="32" t="s">
        <v>1981</v>
      </c>
      <c r="H56" s="100" t="s">
        <v>44</v>
      </c>
      <c r="I56" s="160"/>
      <c r="J56" s="25"/>
      <c r="K56" s="86">
        <f>I56*O56/1000</f>
        <v>0</v>
      </c>
      <c r="L56" s="84" t="s">
        <v>1057</v>
      </c>
      <c r="M56" s="25"/>
      <c r="N56" s="32" t="s">
        <v>1975</v>
      </c>
      <c r="O56" s="104">
        <v>200</v>
      </c>
      <c r="P56" s="34" t="s">
        <v>1866</v>
      </c>
      <c r="Q56" s="24"/>
      <c r="R56" s="25"/>
      <c r="S56" s="163"/>
      <c r="T56" s="25"/>
      <c r="U56" s="25"/>
      <c r="V56" s="25"/>
      <c r="W56" s="25"/>
    </row>
    <row r="57" spans="2:23" ht="45">
      <c r="C57" s="74"/>
      <c r="D57" s="221"/>
      <c r="E57" s="73"/>
      <c r="F57" s="27"/>
      <c r="G57" s="32" t="s">
        <v>1984</v>
      </c>
      <c r="H57" s="100" t="s">
        <v>44</v>
      </c>
      <c r="I57" s="160"/>
      <c r="J57" s="25"/>
      <c r="K57" s="86">
        <f t="shared" si="8"/>
        <v>0</v>
      </c>
      <c r="L57" s="84" t="s">
        <v>1057</v>
      </c>
      <c r="M57" s="25"/>
      <c r="N57" s="32" t="s">
        <v>1109</v>
      </c>
      <c r="O57" s="104">
        <v>267</v>
      </c>
      <c r="P57" s="34" t="s">
        <v>1866</v>
      </c>
      <c r="Q57" s="24"/>
      <c r="R57" s="25"/>
      <c r="S57" s="163"/>
      <c r="T57" s="25"/>
      <c r="U57" s="25"/>
      <c r="V57" s="25"/>
      <c r="W57" s="25"/>
    </row>
    <row r="58" spans="2:23" ht="27.6" customHeight="1">
      <c r="C58" s="74"/>
      <c r="D58" s="221"/>
      <c r="E58" s="73"/>
      <c r="F58" s="27"/>
      <c r="G58" s="32" t="s">
        <v>1988</v>
      </c>
      <c r="H58" s="100" t="s">
        <v>44</v>
      </c>
      <c r="I58" s="160"/>
      <c r="J58" s="25"/>
      <c r="K58" s="86">
        <f t="shared" ref="K58" si="9">I58*O58/1000</f>
        <v>0</v>
      </c>
      <c r="L58" s="84" t="s">
        <v>1057</v>
      </c>
      <c r="M58" s="25"/>
      <c r="N58" s="32"/>
      <c r="O58" s="104">
        <f>(O57+O59)/2</f>
        <v>278</v>
      </c>
      <c r="P58" s="34" t="s">
        <v>1866</v>
      </c>
      <c r="Q58" s="24"/>
      <c r="R58" s="25"/>
      <c r="S58" s="163"/>
      <c r="T58" s="25"/>
      <c r="U58" s="25"/>
      <c r="V58" s="25"/>
      <c r="W58" s="25"/>
    </row>
    <row r="59" spans="2:23" ht="45">
      <c r="C59" s="74"/>
      <c r="D59" s="221"/>
      <c r="E59" s="73"/>
      <c r="F59" s="27"/>
      <c r="G59" s="32" t="s">
        <v>1985</v>
      </c>
      <c r="H59" s="100" t="s">
        <v>44</v>
      </c>
      <c r="I59" s="160"/>
      <c r="J59" s="25"/>
      <c r="K59" s="86">
        <f t="shared" si="8"/>
        <v>0</v>
      </c>
      <c r="L59" s="84" t="s">
        <v>1057</v>
      </c>
      <c r="M59" s="25"/>
      <c r="N59" s="32" t="s">
        <v>1110</v>
      </c>
      <c r="O59" s="104">
        <v>289</v>
      </c>
      <c r="P59" s="34" t="s">
        <v>1866</v>
      </c>
      <c r="Q59" s="24"/>
      <c r="R59" s="25"/>
      <c r="S59" s="163"/>
      <c r="T59" s="25"/>
      <c r="U59" s="25"/>
      <c r="V59" s="25"/>
      <c r="W59" s="25"/>
    </row>
    <row r="60" spans="2:23" ht="45">
      <c r="C60" s="74"/>
      <c r="D60" s="221"/>
      <c r="E60" s="73"/>
      <c r="F60" s="27"/>
      <c r="G60" s="32" t="s">
        <v>1090</v>
      </c>
      <c r="H60" s="100" t="s">
        <v>44</v>
      </c>
      <c r="I60" s="160"/>
      <c r="J60" s="25"/>
      <c r="K60" s="86">
        <f t="shared" si="8"/>
        <v>0</v>
      </c>
      <c r="L60" s="84" t="s">
        <v>1057</v>
      </c>
      <c r="M60" s="25"/>
      <c r="N60" s="32" t="s">
        <v>1929</v>
      </c>
      <c r="O60" s="104">
        <v>333</v>
      </c>
      <c r="P60" s="34" t="s">
        <v>1866</v>
      </c>
      <c r="Q60" s="24"/>
      <c r="R60" s="25"/>
      <c r="S60" s="31"/>
      <c r="T60" s="25"/>
      <c r="U60" s="25"/>
      <c r="V60" s="25"/>
      <c r="W60" s="25"/>
    </row>
    <row r="61" spans="2:23" ht="30">
      <c r="C61" s="74"/>
      <c r="D61" s="221"/>
      <c r="E61" s="73"/>
      <c r="F61" s="27"/>
      <c r="G61" s="32" t="s">
        <v>1987</v>
      </c>
      <c r="H61" s="100" t="s">
        <v>44</v>
      </c>
      <c r="I61" s="160"/>
      <c r="J61" s="25"/>
      <c r="K61" s="86">
        <f t="shared" ref="K61" si="10">I61*O61/1000</f>
        <v>0</v>
      </c>
      <c r="L61" s="84" t="s">
        <v>1057</v>
      </c>
      <c r="M61" s="25"/>
      <c r="N61" s="32" t="s">
        <v>97</v>
      </c>
      <c r="O61" s="104">
        <v>387.5</v>
      </c>
      <c r="P61" s="34" t="s">
        <v>1866</v>
      </c>
      <c r="Q61" s="24"/>
      <c r="R61" s="25"/>
      <c r="S61" s="31"/>
      <c r="T61" s="25"/>
      <c r="U61" s="25"/>
      <c r="V61" s="25"/>
      <c r="W61" s="25"/>
    </row>
    <row r="62" spans="2:23" ht="33" customHeight="1">
      <c r="C62" s="74"/>
      <c r="D62" s="221"/>
      <c r="E62" s="73"/>
      <c r="F62" s="27"/>
      <c r="G62" s="32" t="s">
        <v>1986</v>
      </c>
      <c r="H62" s="100" t="s">
        <v>44</v>
      </c>
      <c r="I62" s="160"/>
      <c r="J62" s="25"/>
      <c r="K62" s="86">
        <f t="shared" ref="K62" si="11">I62*O62/1000</f>
        <v>0</v>
      </c>
      <c r="L62" s="84" t="s">
        <v>1057</v>
      </c>
      <c r="M62" s="25"/>
      <c r="N62" s="32" t="s">
        <v>119</v>
      </c>
      <c r="O62" s="164">
        <v>173.25</v>
      </c>
      <c r="P62" s="34" t="s">
        <v>1083</v>
      </c>
      <c r="Q62" s="24"/>
      <c r="R62" s="25"/>
      <c r="S62" s="31"/>
      <c r="T62" s="25"/>
      <c r="U62" s="25"/>
      <c r="V62" s="25"/>
      <c r="W62" s="25"/>
    </row>
    <row r="63" spans="2:23" ht="41.1" customHeight="1">
      <c r="B63" s="14">
        <f t="shared" ref="B63" ca="1" si="12">1+ OFFSET(B63,-1,0)</f>
        <v>1</v>
      </c>
      <c r="C63" s="74"/>
      <c r="D63" s="221"/>
      <c r="E63" s="73"/>
      <c r="F63" s="27"/>
      <c r="G63" s="32" t="s">
        <v>1967</v>
      </c>
      <c r="H63" s="162"/>
      <c r="I63" s="103"/>
      <c r="J63" s="25"/>
      <c r="K63" s="86">
        <f>I63*O63/1000</f>
        <v>0</v>
      </c>
      <c r="L63" s="85" t="s">
        <v>1057</v>
      </c>
      <c r="M63" s="25"/>
      <c r="N63" s="103"/>
      <c r="O63" s="142"/>
      <c r="P63" s="142"/>
      <c r="Q63" s="24"/>
      <c r="R63" s="25"/>
      <c r="S63" s="31"/>
      <c r="T63" s="25"/>
      <c r="U63" s="25"/>
      <c r="V63" s="25"/>
      <c r="W63" s="25"/>
    </row>
    <row r="64" spans="2:23" ht="21.6" customHeight="1">
      <c r="C64" s="74"/>
      <c r="D64" s="221"/>
      <c r="E64" s="73"/>
      <c r="F64" s="37"/>
      <c r="G64" s="38"/>
      <c r="H64" s="38"/>
      <c r="I64" s="38"/>
      <c r="J64" s="38"/>
      <c r="K64" s="38"/>
      <c r="L64" s="38"/>
      <c r="M64" s="38"/>
      <c r="N64" s="38"/>
      <c r="O64" s="38"/>
      <c r="P64" s="38"/>
      <c r="Q64" s="38"/>
      <c r="R64" s="39"/>
      <c r="S64" s="38"/>
      <c r="T64" s="38"/>
      <c r="U64" s="38"/>
      <c r="V64" s="38"/>
      <c r="W64" s="38"/>
    </row>
    <row r="65" spans="2:23">
      <c r="C65" s="74"/>
      <c r="D65" s="221"/>
      <c r="E65" s="73"/>
    </row>
    <row r="66" spans="2:23" ht="26.1" customHeight="1">
      <c r="C66" s="74"/>
      <c r="D66" s="221"/>
      <c r="E66" s="73"/>
      <c r="F66" s="20" t="s">
        <v>1954</v>
      </c>
      <c r="G66" s="21"/>
      <c r="H66" s="21"/>
      <c r="I66" s="21"/>
      <c r="J66" s="21"/>
      <c r="K66" s="21"/>
      <c r="L66" s="21"/>
      <c r="M66" s="21"/>
      <c r="N66" s="21"/>
      <c r="O66" s="21"/>
      <c r="P66" s="21"/>
      <c r="Q66" s="21"/>
      <c r="R66" s="22"/>
      <c r="S66" s="21"/>
      <c r="T66" s="21"/>
      <c r="U66" s="21"/>
      <c r="V66" s="21"/>
      <c r="W66" s="21"/>
    </row>
    <row r="67" spans="2:23" ht="28.35" customHeight="1">
      <c r="B67" s="14">
        <f t="shared" ref="B67:B70" ca="1" si="13">1+ OFFSET(B67,-1,0)</f>
        <v>1</v>
      </c>
      <c r="C67" s="74"/>
      <c r="D67" s="221"/>
      <c r="E67" s="87"/>
      <c r="F67" s="23"/>
      <c r="G67" s="24"/>
      <c r="H67" s="24" t="s">
        <v>49</v>
      </c>
      <c r="I67" s="25"/>
      <c r="J67" s="25"/>
      <c r="K67" s="29">
        <f>SUM(K70:K75)</f>
        <v>0</v>
      </c>
      <c r="L67" s="30" t="s">
        <v>32</v>
      </c>
      <c r="M67" s="25"/>
      <c r="N67" s="25"/>
      <c r="O67" s="25"/>
      <c r="P67" s="25"/>
      <c r="Q67" s="25"/>
      <c r="R67" s="24"/>
      <c r="S67" s="25"/>
      <c r="T67" s="25"/>
      <c r="U67" s="25"/>
      <c r="V67" s="25"/>
      <c r="W67" s="25"/>
    </row>
    <row r="68" spans="2:23">
      <c r="C68" s="74"/>
      <c r="D68" s="221"/>
      <c r="E68" s="87"/>
      <c r="F68" s="23"/>
      <c r="G68" s="24"/>
      <c r="H68" s="24"/>
      <c r="I68" s="25"/>
      <c r="J68" s="25"/>
      <c r="K68" s="25"/>
      <c r="L68" s="25"/>
      <c r="M68" s="25"/>
      <c r="N68" s="25"/>
      <c r="O68" s="25"/>
      <c r="P68" s="25"/>
      <c r="Q68" s="25"/>
      <c r="R68" s="24"/>
      <c r="S68" s="25"/>
      <c r="T68" s="25"/>
      <c r="U68" s="25"/>
      <c r="V68" s="25"/>
      <c r="W68" s="25"/>
    </row>
    <row r="69" spans="2:23" ht="51" customHeight="1">
      <c r="B69" s="14">
        <f t="shared" ca="1" si="13"/>
        <v>1</v>
      </c>
      <c r="C69" s="74"/>
      <c r="D69" s="221"/>
      <c r="E69" s="77"/>
      <c r="F69" s="23"/>
      <c r="G69" s="33"/>
      <c r="H69" s="35" t="s">
        <v>1078</v>
      </c>
      <c r="I69" s="40" t="s">
        <v>36</v>
      </c>
      <c r="J69" s="25"/>
      <c r="K69" s="223" t="s">
        <v>1062</v>
      </c>
      <c r="L69" s="224"/>
      <c r="M69" s="25"/>
      <c r="N69" s="225" t="s">
        <v>1079</v>
      </c>
      <c r="O69" s="226"/>
      <c r="P69" s="227"/>
      <c r="Q69" s="144"/>
      <c r="R69" s="25"/>
      <c r="S69" s="36" t="s">
        <v>1956</v>
      </c>
      <c r="T69" s="25"/>
      <c r="U69" s="25"/>
      <c r="V69" s="25"/>
      <c r="W69" s="25"/>
    </row>
    <row r="70" spans="2:23" ht="30">
      <c r="B70" s="14">
        <f t="shared" ca="1" si="13"/>
        <v>2</v>
      </c>
      <c r="C70" s="74"/>
      <c r="D70" s="221"/>
      <c r="E70" s="73"/>
      <c r="F70" s="27"/>
      <c r="G70" s="32" t="s">
        <v>1092</v>
      </c>
      <c r="H70" s="100" t="s">
        <v>1094</v>
      </c>
      <c r="I70" s="160"/>
      <c r="J70" s="25"/>
      <c r="K70" s="86">
        <f>I70*O70/1000</f>
        <v>0</v>
      </c>
      <c r="L70" s="84" t="s">
        <v>1057</v>
      </c>
      <c r="M70" s="25"/>
      <c r="N70" s="32" t="s">
        <v>178</v>
      </c>
      <c r="O70" s="28">
        <v>2211</v>
      </c>
      <c r="P70" s="34" t="s">
        <v>1083</v>
      </c>
      <c r="Q70" s="24"/>
      <c r="R70" s="25"/>
      <c r="S70" s="31"/>
      <c r="T70" s="25"/>
      <c r="U70" s="25"/>
      <c r="V70" s="25"/>
      <c r="W70" s="25"/>
    </row>
    <row r="71" spans="2:23" ht="45">
      <c r="C71" s="74"/>
      <c r="D71" s="221"/>
      <c r="E71" s="73"/>
      <c r="F71" s="27"/>
      <c r="G71" s="32" t="s">
        <v>1093</v>
      </c>
      <c r="H71" s="100" t="s">
        <v>1094</v>
      </c>
      <c r="I71" s="160"/>
      <c r="J71" s="25"/>
      <c r="K71" s="86">
        <f t="shared" ref="K71:K74" si="14">I71*O71/1000</f>
        <v>0</v>
      </c>
      <c r="L71" s="84" t="s">
        <v>1057</v>
      </c>
      <c r="M71" s="25"/>
      <c r="N71" s="32" t="s">
        <v>177</v>
      </c>
      <c r="O71" s="28">
        <v>938</v>
      </c>
      <c r="P71" s="34" t="s">
        <v>1083</v>
      </c>
      <c r="Q71" s="24"/>
      <c r="R71" s="25"/>
      <c r="S71" s="31"/>
      <c r="T71" s="25"/>
      <c r="U71" s="25"/>
      <c r="V71" s="25"/>
      <c r="W71" s="25"/>
    </row>
    <row r="72" spans="2:23" ht="45">
      <c r="C72" s="74"/>
      <c r="D72" s="221"/>
      <c r="E72" s="73"/>
      <c r="F72" s="27"/>
      <c r="G72" s="32" t="s">
        <v>1990</v>
      </c>
      <c r="H72" s="100" t="s">
        <v>1094</v>
      </c>
      <c r="I72" s="103"/>
      <c r="J72" s="25"/>
      <c r="K72" s="86">
        <f t="shared" si="14"/>
        <v>0</v>
      </c>
      <c r="L72" s="84" t="s">
        <v>1057</v>
      </c>
      <c r="M72" s="25"/>
      <c r="N72" s="32" t="s">
        <v>1192</v>
      </c>
      <c r="O72" s="28">
        <f>1000*0.607</f>
        <v>607</v>
      </c>
      <c r="P72" s="34" t="s">
        <v>1083</v>
      </c>
      <c r="Q72" s="24"/>
      <c r="R72" s="25"/>
      <c r="S72" s="31"/>
      <c r="T72" s="25"/>
      <c r="U72" s="25"/>
      <c r="V72" s="25"/>
      <c r="W72" s="25"/>
    </row>
    <row r="73" spans="2:23" ht="45">
      <c r="C73" s="74"/>
      <c r="D73" s="221"/>
      <c r="E73" s="73"/>
      <c r="F73" s="27"/>
      <c r="G73" s="32" t="s">
        <v>1989</v>
      </c>
      <c r="H73" s="100" t="s">
        <v>1094</v>
      </c>
      <c r="I73" s="160"/>
      <c r="J73" s="25"/>
      <c r="K73" s="86">
        <f t="shared" si="14"/>
        <v>0</v>
      </c>
      <c r="L73" s="84" t="s">
        <v>1057</v>
      </c>
      <c r="M73" s="25"/>
      <c r="N73" s="32" t="s">
        <v>1194</v>
      </c>
      <c r="O73" s="28">
        <f>'FE MAJ'!C115*1000</f>
        <v>1680</v>
      </c>
      <c r="P73" s="34" t="s">
        <v>1083</v>
      </c>
      <c r="Q73" s="24"/>
      <c r="R73" s="25"/>
      <c r="S73" s="163"/>
      <c r="T73" s="25"/>
      <c r="U73" s="25"/>
      <c r="V73" s="25"/>
      <c r="W73" s="25"/>
    </row>
    <row r="74" spans="2:23" ht="30">
      <c r="C74" s="74"/>
      <c r="D74" s="221"/>
      <c r="E74" s="73"/>
      <c r="F74" s="27"/>
      <c r="G74" s="32" t="s">
        <v>1930</v>
      </c>
      <c r="H74" s="100" t="s">
        <v>1094</v>
      </c>
      <c r="I74" s="160"/>
      <c r="J74" s="25"/>
      <c r="K74" s="86">
        <f t="shared" si="14"/>
        <v>0</v>
      </c>
      <c r="L74" s="84" t="s">
        <v>1057</v>
      </c>
      <c r="M74" s="25"/>
      <c r="N74" s="32" t="s">
        <v>1189</v>
      </c>
      <c r="O74" s="28">
        <v>3879</v>
      </c>
      <c r="P74" s="34" t="s">
        <v>1083</v>
      </c>
      <c r="Q74" s="24"/>
      <c r="R74" s="25"/>
      <c r="S74" s="31"/>
      <c r="T74" s="25"/>
      <c r="U74" s="25"/>
      <c r="V74" s="25"/>
      <c r="W74" s="25"/>
    </row>
    <row r="75" spans="2:23" ht="41.1" customHeight="1">
      <c r="B75" s="14">
        <f t="shared" ref="B75" ca="1" si="15">1+ OFFSET(B75,-1,0)</f>
        <v>1</v>
      </c>
      <c r="C75" s="74"/>
      <c r="D75" s="221"/>
      <c r="E75" s="73"/>
      <c r="F75" s="27"/>
      <c r="G75" s="32" t="s">
        <v>1991</v>
      </c>
      <c r="H75" s="100" t="s">
        <v>1094</v>
      </c>
      <c r="I75" s="103"/>
      <c r="J75" s="25"/>
      <c r="K75" s="86">
        <f>I75*O75/1000</f>
        <v>0</v>
      </c>
      <c r="L75" s="85" t="s">
        <v>1057</v>
      </c>
      <c r="M75" s="25"/>
      <c r="N75" s="32" t="str">
        <f>'FE MAJ'!A422</f>
        <v>Palplanches     /T</v>
      </c>
      <c r="O75" s="28">
        <f>'FE MAJ'!C422</f>
        <v>22</v>
      </c>
      <c r="P75" s="34" t="s">
        <v>1083</v>
      </c>
      <c r="Q75" s="24"/>
      <c r="R75" s="25"/>
      <c r="S75" s="31"/>
      <c r="T75" s="25"/>
      <c r="U75" s="25"/>
      <c r="V75" s="25"/>
      <c r="W75" s="25"/>
    </row>
    <row r="76" spans="2:23" ht="41.1" customHeight="1">
      <c r="C76" s="74"/>
      <c r="D76" s="221"/>
      <c r="E76" s="73"/>
      <c r="F76" s="27"/>
      <c r="G76" s="146"/>
      <c r="H76" s="147"/>
      <c r="I76" s="153"/>
      <c r="J76" s="25"/>
      <c r="K76" s="149"/>
      <c r="L76" s="150"/>
      <c r="M76" s="25"/>
      <c r="N76" s="148"/>
      <c r="O76" s="151"/>
      <c r="P76" s="151"/>
      <c r="Q76" s="24"/>
      <c r="R76" s="25"/>
      <c r="S76" s="152"/>
      <c r="T76" s="25"/>
      <c r="U76" s="25"/>
      <c r="V76" s="25"/>
      <c r="W76" s="25"/>
    </row>
    <row r="77" spans="2:23" ht="21.6" customHeight="1" thickBot="1">
      <c r="C77" s="74"/>
      <c r="D77" s="222"/>
      <c r="E77" s="73"/>
      <c r="F77" s="37"/>
      <c r="G77" s="38"/>
      <c r="H77" s="38"/>
      <c r="I77" s="38"/>
      <c r="J77" s="38"/>
      <c r="K77" s="38"/>
      <c r="L77" s="38"/>
      <c r="M77" s="38"/>
      <c r="N77" s="38"/>
      <c r="O77" s="38"/>
      <c r="P77" s="38"/>
      <c r="Q77" s="38"/>
      <c r="R77" s="39"/>
      <c r="S77" s="38"/>
      <c r="T77" s="38"/>
      <c r="U77" s="38"/>
      <c r="V77" s="38"/>
      <c r="W77" s="38"/>
    </row>
    <row r="78" spans="2:23" ht="15.6" thickBot="1">
      <c r="C78" s="74"/>
      <c r="D78" s="143"/>
      <c r="E78" s="73"/>
    </row>
    <row r="79" spans="2:23" ht="26.1" customHeight="1">
      <c r="C79" s="74"/>
      <c r="D79" s="220" t="s">
        <v>1933</v>
      </c>
      <c r="E79" s="73"/>
      <c r="F79" s="20" t="s">
        <v>1955</v>
      </c>
      <c r="G79" s="21"/>
      <c r="H79" s="21"/>
      <c r="I79" s="21"/>
      <c r="J79" s="21"/>
      <c r="K79" s="21"/>
      <c r="L79" s="21"/>
      <c r="M79" s="21"/>
      <c r="N79" s="21"/>
      <c r="O79" s="21"/>
      <c r="P79" s="21"/>
      <c r="Q79" s="21"/>
      <c r="R79" s="22"/>
      <c r="S79" s="21"/>
      <c r="T79" s="21"/>
      <c r="U79" s="21"/>
      <c r="V79" s="21"/>
      <c r="W79" s="21"/>
    </row>
    <row r="80" spans="2:23" ht="28.35" customHeight="1">
      <c r="B80" s="14">
        <f t="shared" ref="B80:B82" ca="1" si="16">1+ OFFSET(B80,-1,0)</f>
        <v>1</v>
      </c>
      <c r="C80" s="74"/>
      <c r="D80" s="221"/>
      <c r="E80" s="87"/>
      <c r="F80" s="23"/>
      <c r="G80" s="24"/>
      <c r="H80" s="24" t="s">
        <v>49</v>
      </c>
      <c r="I80" s="25"/>
      <c r="J80" s="25"/>
      <c r="K80" s="29">
        <f>SUM(K83:K100)</f>
        <v>0</v>
      </c>
      <c r="L80" s="30" t="s">
        <v>32</v>
      </c>
      <c r="M80" s="25"/>
      <c r="N80" s="25"/>
      <c r="O80" s="25"/>
      <c r="P80" s="25"/>
      <c r="Q80" s="25"/>
      <c r="R80" s="24"/>
      <c r="S80" s="25"/>
      <c r="T80" s="25"/>
      <c r="U80" s="25"/>
      <c r="V80" s="25"/>
      <c r="W80" s="25"/>
    </row>
    <row r="81" spans="2:23">
      <c r="C81" s="74"/>
      <c r="D81" s="221"/>
      <c r="E81" s="87"/>
      <c r="F81" s="23"/>
      <c r="G81" s="24"/>
      <c r="H81" s="24"/>
      <c r="I81" s="25"/>
      <c r="J81" s="25"/>
      <c r="K81" s="25"/>
      <c r="L81" s="25"/>
      <c r="M81" s="25"/>
      <c r="N81" s="25"/>
      <c r="O81" s="25"/>
      <c r="P81" s="25"/>
      <c r="Q81" s="25"/>
      <c r="R81" s="24"/>
      <c r="S81" s="25"/>
      <c r="T81" s="25"/>
      <c r="U81" s="25"/>
      <c r="V81" s="25"/>
      <c r="W81" s="25"/>
    </row>
    <row r="82" spans="2:23" ht="51" customHeight="1">
      <c r="B82" s="14">
        <f t="shared" ca="1" si="16"/>
        <v>1</v>
      </c>
      <c r="C82" s="74"/>
      <c r="D82" s="221"/>
      <c r="E82" s="77"/>
      <c r="F82" s="23"/>
      <c r="G82" s="33"/>
      <c r="H82" s="35" t="s">
        <v>1078</v>
      </c>
      <c r="I82" s="40" t="s">
        <v>36</v>
      </c>
      <c r="J82" s="25"/>
      <c r="K82" s="223" t="s">
        <v>1062</v>
      </c>
      <c r="L82" s="224"/>
      <c r="M82" s="25"/>
      <c r="N82" s="225" t="s">
        <v>1079</v>
      </c>
      <c r="O82" s="226"/>
      <c r="P82" s="227"/>
      <c r="Q82" s="36" t="s">
        <v>1957</v>
      </c>
      <c r="R82" s="25"/>
      <c r="S82" s="36" t="s">
        <v>1956</v>
      </c>
      <c r="T82" s="25"/>
      <c r="U82" s="25"/>
      <c r="V82" s="25"/>
      <c r="W82" s="25"/>
    </row>
    <row r="83" spans="2:23">
      <c r="C83" s="74"/>
      <c r="D83" s="221"/>
      <c r="E83" s="73"/>
      <c r="F83" s="27"/>
      <c r="G83" s="32" t="s">
        <v>1925</v>
      </c>
      <c r="H83" s="100"/>
      <c r="I83" s="160"/>
      <c r="J83" s="25"/>
      <c r="K83" s="86">
        <f>I83*O83/1000</f>
        <v>0</v>
      </c>
      <c r="L83" s="85" t="s">
        <v>1057</v>
      </c>
      <c r="M83" s="25"/>
      <c r="N83" s="32" t="s">
        <v>70</v>
      </c>
      <c r="O83" s="104">
        <v>202.39999999999998</v>
      </c>
      <c r="P83" s="34" t="s">
        <v>1866</v>
      </c>
      <c r="Q83" s="145"/>
      <c r="R83" s="25"/>
      <c r="S83" s="31"/>
      <c r="T83" s="25"/>
      <c r="U83" s="25"/>
      <c r="V83" s="25"/>
      <c r="W83" s="25"/>
    </row>
    <row r="84" spans="2:23" ht="30">
      <c r="C84" s="74"/>
      <c r="D84" s="221"/>
      <c r="E84" s="73"/>
      <c r="F84" s="27"/>
      <c r="G84" s="32" t="s">
        <v>1921</v>
      </c>
      <c r="H84" s="100" t="s">
        <v>44</v>
      </c>
      <c r="I84" s="160"/>
      <c r="J84" s="25"/>
      <c r="K84" s="86">
        <f t="shared" ref="K84:K98" si="17">I84*O84/1000</f>
        <v>0</v>
      </c>
      <c r="L84" s="85" t="s">
        <v>1935</v>
      </c>
      <c r="M84" s="25"/>
      <c r="N84" s="32" t="s">
        <v>70</v>
      </c>
      <c r="O84" s="104">
        <v>202.39999999999998</v>
      </c>
      <c r="P84" s="34" t="s">
        <v>1866</v>
      </c>
      <c r="Q84" s="145"/>
      <c r="R84" s="25"/>
      <c r="S84" s="31"/>
      <c r="T84" s="25"/>
      <c r="U84" s="25"/>
      <c r="V84" s="25"/>
      <c r="W84" s="25"/>
    </row>
    <row r="85" spans="2:23">
      <c r="C85" s="74"/>
      <c r="D85" s="221"/>
      <c r="E85" s="73"/>
      <c r="F85" s="27"/>
      <c r="G85" s="32" t="s">
        <v>1913</v>
      </c>
      <c r="H85" s="100" t="s">
        <v>1094</v>
      </c>
      <c r="I85" s="160"/>
      <c r="J85" s="25"/>
      <c r="K85" s="86">
        <f t="shared" si="17"/>
        <v>0</v>
      </c>
      <c r="L85" s="85" t="s">
        <v>1936</v>
      </c>
      <c r="M85" s="25"/>
      <c r="N85" s="32" t="s">
        <v>57</v>
      </c>
      <c r="O85" s="104">
        <v>1100</v>
      </c>
      <c r="P85" s="34" t="s">
        <v>1083</v>
      </c>
      <c r="Q85" s="145"/>
      <c r="R85" s="25"/>
      <c r="S85" s="31"/>
      <c r="T85" s="25"/>
      <c r="U85" s="25"/>
      <c r="V85" s="25"/>
      <c r="W85" s="25"/>
    </row>
    <row r="86" spans="2:23">
      <c r="C86" s="74"/>
      <c r="D86" s="221"/>
      <c r="E86" s="73"/>
      <c r="F86" s="27"/>
      <c r="G86" s="32" t="s">
        <v>1915</v>
      </c>
      <c r="H86" s="100" t="s">
        <v>1094</v>
      </c>
      <c r="I86" s="160"/>
      <c r="J86" s="25"/>
      <c r="K86" s="86">
        <f t="shared" si="17"/>
        <v>0</v>
      </c>
      <c r="L86" s="85" t="s">
        <v>1937</v>
      </c>
      <c r="M86" s="25"/>
      <c r="N86" s="32" t="s">
        <v>68</v>
      </c>
      <c r="O86" s="104">
        <v>46.5</v>
      </c>
      <c r="P86" s="34" t="s">
        <v>1083</v>
      </c>
      <c r="Q86" s="145"/>
      <c r="R86" s="25"/>
      <c r="S86" s="31"/>
      <c r="T86" s="25"/>
      <c r="U86" s="25"/>
      <c r="V86" s="25"/>
      <c r="W86" s="25"/>
    </row>
    <row r="87" spans="2:23" ht="30">
      <c r="C87" s="74"/>
      <c r="D87" s="221"/>
      <c r="E87" s="73"/>
      <c r="F87" s="27"/>
      <c r="G87" s="32" t="s">
        <v>1916</v>
      </c>
      <c r="H87" s="100" t="s">
        <v>1094</v>
      </c>
      <c r="I87" s="160"/>
      <c r="J87" s="25"/>
      <c r="K87" s="86">
        <f t="shared" si="17"/>
        <v>0</v>
      </c>
      <c r="L87" s="85" t="s">
        <v>1938</v>
      </c>
      <c r="M87" s="25"/>
      <c r="N87" s="32" t="s">
        <v>67</v>
      </c>
      <c r="O87" s="104">
        <v>53.3</v>
      </c>
      <c r="P87" s="34" t="s">
        <v>1083</v>
      </c>
      <c r="Q87" s="145"/>
      <c r="R87" s="25"/>
      <c r="S87" s="31"/>
      <c r="T87" s="25"/>
      <c r="U87" s="25"/>
      <c r="V87" s="25"/>
      <c r="W87" s="25"/>
    </row>
    <row r="88" spans="2:23">
      <c r="C88" s="74"/>
      <c r="D88" s="221"/>
      <c r="E88" s="73"/>
      <c r="F88" s="27"/>
      <c r="G88" s="32" t="s">
        <v>1917</v>
      </c>
      <c r="H88" s="100" t="s">
        <v>1094</v>
      </c>
      <c r="I88" s="160"/>
      <c r="J88" s="25"/>
      <c r="K88" s="86">
        <f t="shared" si="17"/>
        <v>0</v>
      </c>
      <c r="L88" s="85" t="s">
        <v>1939</v>
      </c>
      <c r="M88" s="25"/>
      <c r="N88" s="32" t="s">
        <v>71</v>
      </c>
      <c r="O88" s="104">
        <v>34.270000000000003</v>
      </c>
      <c r="P88" s="34" t="s">
        <v>1083</v>
      </c>
      <c r="Q88" s="145"/>
      <c r="R88" s="25"/>
      <c r="S88" s="31"/>
      <c r="T88" s="25"/>
      <c r="U88" s="25"/>
      <c r="V88" s="25"/>
      <c r="W88" s="25"/>
    </row>
    <row r="89" spans="2:23" ht="30">
      <c r="C89" s="74"/>
      <c r="D89" s="221"/>
      <c r="E89" s="73"/>
      <c r="F89" s="27"/>
      <c r="G89" s="32" t="s">
        <v>1918</v>
      </c>
      <c r="H89" s="100" t="s">
        <v>1094</v>
      </c>
      <c r="I89" s="160"/>
      <c r="J89" s="25"/>
      <c r="K89" s="86">
        <f t="shared" si="17"/>
        <v>0</v>
      </c>
      <c r="L89" s="85" t="s">
        <v>1940</v>
      </c>
      <c r="M89" s="25"/>
      <c r="N89" s="32" t="s">
        <v>67</v>
      </c>
      <c r="O89" s="104">
        <v>53.3</v>
      </c>
      <c r="P89" s="34" t="s">
        <v>1083</v>
      </c>
      <c r="Q89" s="145"/>
      <c r="R89" s="25"/>
      <c r="S89" s="31"/>
      <c r="T89" s="25"/>
      <c r="U89" s="25"/>
      <c r="V89" s="25"/>
      <c r="W89" s="25"/>
    </row>
    <row r="90" spans="2:23" ht="30">
      <c r="C90" s="74"/>
      <c r="D90" s="221"/>
      <c r="E90" s="73"/>
      <c r="F90" s="27"/>
      <c r="G90" s="32" t="s">
        <v>1919</v>
      </c>
      <c r="H90" s="100" t="s">
        <v>1094</v>
      </c>
      <c r="I90" s="160"/>
      <c r="J90" s="25"/>
      <c r="K90" s="86">
        <f t="shared" si="17"/>
        <v>0</v>
      </c>
      <c r="L90" s="85" t="s">
        <v>1941</v>
      </c>
      <c r="M90" s="25"/>
      <c r="N90" s="32" t="s">
        <v>67</v>
      </c>
      <c r="O90" s="104">
        <v>53.3</v>
      </c>
      <c r="P90" s="34" t="s">
        <v>1083</v>
      </c>
      <c r="Q90" s="145"/>
      <c r="R90" s="25"/>
      <c r="S90" s="31"/>
      <c r="T90" s="25"/>
      <c r="U90" s="25"/>
      <c r="V90" s="25"/>
      <c r="W90" s="25"/>
    </row>
    <row r="91" spans="2:23" ht="30">
      <c r="C91" s="74"/>
      <c r="D91" s="221"/>
      <c r="E91" s="73"/>
      <c r="F91" s="27"/>
      <c r="G91" s="32" t="s">
        <v>1920</v>
      </c>
      <c r="H91" s="100" t="s">
        <v>1094</v>
      </c>
      <c r="I91" s="160"/>
      <c r="J91" s="25"/>
      <c r="K91" s="86">
        <f t="shared" si="17"/>
        <v>0</v>
      </c>
      <c r="L91" s="85" t="s">
        <v>1942</v>
      </c>
      <c r="M91" s="25"/>
      <c r="N91" s="32" t="s">
        <v>270</v>
      </c>
      <c r="O91" s="104">
        <v>36.666666666666664</v>
      </c>
      <c r="P91" s="34" t="s">
        <v>1083</v>
      </c>
      <c r="Q91" s="145"/>
      <c r="R91" s="25"/>
      <c r="S91" s="31"/>
      <c r="T91" s="25"/>
      <c r="U91" s="25"/>
      <c r="V91" s="25"/>
      <c r="W91" s="25"/>
    </row>
    <row r="92" spans="2:23" ht="30">
      <c r="C92" s="74"/>
      <c r="D92" s="221"/>
      <c r="E92" s="73"/>
      <c r="F92" s="27"/>
      <c r="G92" s="32" t="s">
        <v>1922</v>
      </c>
      <c r="H92" s="100" t="s">
        <v>1094</v>
      </c>
      <c r="I92" s="160"/>
      <c r="J92" s="25"/>
      <c r="K92" s="86">
        <f t="shared" si="17"/>
        <v>0</v>
      </c>
      <c r="L92" s="85" t="s">
        <v>1943</v>
      </c>
      <c r="M92" s="25"/>
      <c r="N92" s="32" t="s">
        <v>100</v>
      </c>
      <c r="O92" s="104">
        <v>1870</v>
      </c>
      <c r="P92" s="34" t="s">
        <v>1083</v>
      </c>
      <c r="Q92" s="145"/>
      <c r="R92" s="25"/>
      <c r="S92" s="31"/>
      <c r="T92" s="25"/>
      <c r="U92" s="25"/>
      <c r="V92" s="25"/>
      <c r="W92" s="25"/>
    </row>
    <row r="93" spans="2:23" ht="45">
      <c r="C93" s="74"/>
      <c r="D93" s="221"/>
      <c r="E93" s="73"/>
      <c r="F93" s="27"/>
      <c r="G93" s="32" t="s">
        <v>1914</v>
      </c>
      <c r="H93" s="100" t="s">
        <v>1094</v>
      </c>
      <c r="I93" s="160"/>
      <c r="J93" s="25"/>
      <c r="K93" s="86">
        <f t="shared" si="17"/>
        <v>0</v>
      </c>
      <c r="L93" s="85" t="s">
        <v>1944</v>
      </c>
      <c r="M93" s="25"/>
      <c r="N93" s="32" t="s">
        <v>1338</v>
      </c>
      <c r="O93" s="104">
        <v>2090</v>
      </c>
      <c r="P93" s="34" t="s">
        <v>1083</v>
      </c>
      <c r="Q93" s="145"/>
      <c r="R93" s="25"/>
      <c r="S93" s="31"/>
      <c r="T93" s="25"/>
      <c r="U93" s="25"/>
      <c r="V93" s="25"/>
      <c r="W93" s="25"/>
    </row>
    <row r="94" spans="2:23" ht="45">
      <c r="C94" s="74"/>
      <c r="D94" s="221"/>
      <c r="E94" s="73"/>
      <c r="F94" s="27"/>
      <c r="G94" s="32" t="s">
        <v>1927</v>
      </c>
      <c r="H94" s="100" t="s">
        <v>1094</v>
      </c>
      <c r="I94" s="160"/>
      <c r="J94" s="25"/>
      <c r="K94" s="86">
        <f t="shared" si="17"/>
        <v>0</v>
      </c>
      <c r="L94" s="85" t="s">
        <v>1945</v>
      </c>
      <c r="M94" s="25"/>
      <c r="N94" s="32" t="s">
        <v>1341</v>
      </c>
      <c r="O94" s="104">
        <v>1920</v>
      </c>
      <c r="P94" s="34" t="s">
        <v>1083</v>
      </c>
      <c r="Q94" s="145"/>
      <c r="R94" s="25"/>
      <c r="S94" s="31"/>
      <c r="T94" s="25"/>
      <c r="U94" s="25"/>
      <c r="V94" s="25"/>
      <c r="W94" s="25"/>
    </row>
    <row r="95" spans="2:23" ht="36.75" customHeight="1">
      <c r="C95" s="74"/>
      <c r="D95" s="221"/>
      <c r="E95" s="73"/>
      <c r="F95" s="27"/>
      <c r="G95" s="32" t="s">
        <v>1926</v>
      </c>
      <c r="H95" s="100" t="s">
        <v>1094</v>
      </c>
      <c r="I95" s="160"/>
      <c r="J95" s="25"/>
      <c r="K95" s="86">
        <f t="shared" si="17"/>
        <v>0</v>
      </c>
      <c r="L95" s="85" t="s">
        <v>1946</v>
      </c>
      <c r="M95" s="25"/>
      <c r="N95" s="32" t="s">
        <v>1342</v>
      </c>
      <c r="O95" s="104">
        <v>2000</v>
      </c>
      <c r="P95" s="34" t="s">
        <v>1083</v>
      </c>
      <c r="Q95" s="145"/>
      <c r="R95" s="25"/>
      <c r="S95" s="163"/>
      <c r="T95" s="25"/>
      <c r="U95" s="25"/>
      <c r="V95" s="25"/>
      <c r="W95" s="25"/>
    </row>
    <row r="96" spans="2:23" ht="25.5" customHeight="1">
      <c r="C96" s="74"/>
      <c r="D96" s="221"/>
      <c r="E96" s="73"/>
      <c r="F96" s="27"/>
      <c r="G96" s="32" t="s">
        <v>1923</v>
      </c>
      <c r="H96" s="100" t="s">
        <v>1094</v>
      </c>
      <c r="I96" s="160"/>
      <c r="J96" s="25"/>
      <c r="K96" s="86">
        <f t="shared" si="17"/>
        <v>0</v>
      </c>
      <c r="L96" s="85" t="s">
        <v>1947</v>
      </c>
      <c r="M96" s="25"/>
      <c r="N96" s="32" t="s">
        <v>157</v>
      </c>
      <c r="O96" s="104">
        <v>2.92</v>
      </c>
      <c r="P96" s="34" t="s">
        <v>1083</v>
      </c>
      <c r="Q96" s="145"/>
      <c r="R96" s="25"/>
      <c r="T96" s="25"/>
      <c r="U96" s="25"/>
      <c r="V96" s="25"/>
      <c r="W96" s="25"/>
    </row>
    <row r="97" spans="1:23" ht="24.6" customHeight="1">
      <c r="C97" s="74"/>
      <c r="D97" s="221"/>
      <c r="E97" s="73"/>
      <c r="F97" s="27"/>
      <c r="G97" s="32" t="s">
        <v>1950</v>
      </c>
      <c r="H97" s="100" t="s">
        <v>1094</v>
      </c>
      <c r="I97" s="160"/>
      <c r="J97" s="25"/>
      <c r="K97" s="86">
        <f t="shared" si="17"/>
        <v>0</v>
      </c>
      <c r="L97" s="85" t="s">
        <v>1948</v>
      </c>
      <c r="M97" s="25"/>
      <c r="N97" s="32" t="s">
        <v>54</v>
      </c>
      <c r="O97" s="104">
        <v>1041</v>
      </c>
      <c r="P97" s="34" t="s">
        <v>1083</v>
      </c>
      <c r="Q97" s="145"/>
      <c r="R97" s="25"/>
      <c r="S97" s="163"/>
      <c r="T97" s="25"/>
      <c r="U97" s="25"/>
      <c r="V97" s="25"/>
      <c r="W97" s="25"/>
    </row>
    <row r="98" spans="1:23" ht="24.6" customHeight="1">
      <c r="C98" s="74"/>
      <c r="D98" s="221"/>
      <c r="E98" s="73"/>
      <c r="F98" s="27"/>
      <c r="G98" s="32" t="s">
        <v>1951</v>
      </c>
      <c r="H98" s="100" t="s">
        <v>1094</v>
      </c>
      <c r="I98" s="160"/>
      <c r="J98" s="25"/>
      <c r="K98" s="86">
        <f t="shared" si="17"/>
        <v>0</v>
      </c>
      <c r="L98" s="85" t="s">
        <v>1949</v>
      </c>
      <c r="M98" s="25"/>
      <c r="N98" s="32" t="s">
        <v>1267</v>
      </c>
      <c r="O98" s="104">
        <v>245.1</v>
      </c>
      <c r="P98" s="34" t="s">
        <v>1083</v>
      </c>
      <c r="Q98" s="145"/>
      <c r="R98" s="25"/>
      <c r="S98" s="163"/>
      <c r="T98" s="25"/>
      <c r="U98" s="25"/>
      <c r="V98" s="25"/>
      <c r="W98" s="25"/>
    </row>
    <row r="99" spans="1:23">
      <c r="C99" s="74"/>
      <c r="D99" s="221"/>
      <c r="E99" s="73"/>
      <c r="F99" s="27"/>
      <c r="G99" s="32" t="s">
        <v>1924</v>
      </c>
      <c r="H99" s="100" t="s">
        <v>1094</v>
      </c>
      <c r="I99" s="160"/>
      <c r="J99" s="25"/>
      <c r="K99" s="86">
        <f t="shared" ref="K99:K100" si="18">I99*O99/1000</f>
        <v>0</v>
      </c>
      <c r="L99" s="85" t="s">
        <v>1949</v>
      </c>
      <c r="M99" s="25"/>
      <c r="N99" s="32" t="s">
        <v>118</v>
      </c>
      <c r="O99" s="104">
        <v>11</v>
      </c>
      <c r="P99" s="34" t="s">
        <v>1083</v>
      </c>
      <c r="Q99" s="145"/>
      <c r="R99" s="25"/>
      <c r="S99" s="163"/>
      <c r="T99" s="25"/>
      <c r="U99" s="25"/>
      <c r="V99" s="25"/>
      <c r="W99" s="25"/>
    </row>
    <row r="100" spans="1:23" ht="41.1" customHeight="1">
      <c r="B100" s="14">
        <f t="shared" ref="B100" ca="1" si="19">1+ OFFSET(B100,-1,0)</f>
        <v>1</v>
      </c>
      <c r="C100" s="74"/>
      <c r="D100" s="221"/>
      <c r="E100" s="73"/>
      <c r="F100" s="27"/>
      <c r="G100" s="32" t="s">
        <v>1967</v>
      </c>
      <c r="H100" s="162"/>
      <c r="I100" s="103"/>
      <c r="J100" s="25"/>
      <c r="K100" s="86">
        <f t="shared" si="18"/>
        <v>0</v>
      </c>
      <c r="L100" s="85" t="s">
        <v>1057</v>
      </c>
      <c r="M100" s="25"/>
      <c r="N100" s="103"/>
      <c r="O100" s="142"/>
      <c r="P100" s="142"/>
      <c r="Q100" s="24"/>
      <c r="R100" s="25"/>
      <c r="S100" s="163"/>
      <c r="T100" s="25"/>
      <c r="U100" s="25"/>
      <c r="V100" s="25"/>
      <c r="W100" s="25"/>
    </row>
    <row r="101" spans="1:23" ht="15.6" thickBot="1">
      <c r="C101" s="74"/>
      <c r="D101" s="222"/>
      <c r="E101" s="73"/>
      <c r="F101" s="37"/>
      <c r="G101" s="38"/>
      <c r="H101" s="38"/>
      <c r="I101" s="38"/>
      <c r="J101" s="38"/>
      <c r="K101" s="38"/>
      <c r="L101" s="38"/>
      <c r="M101" s="38"/>
      <c r="N101" s="38"/>
      <c r="O101" s="38"/>
      <c r="P101" s="38"/>
      <c r="Q101" s="38"/>
      <c r="R101" s="39"/>
      <c r="S101" s="38"/>
      <c r="T101" s="25"/>
      <c r="U101" s="25"/>
      <c r="V101" s="25"/>
      <c r="W101" s="25"/>
    </row>
    <row r="102" spans="1:23" ht="15.6" thickBot="1">
      <c r="C102" s="74"/>
      <c r="D102" s="143"/>
      <c r="E102" s="73"/>
    </row>
    <row r="103" spans="1:23" ht="21.9" customHeight="1">
      <c r="A103" s="14" t="e">
        <f>ROW(#REF!)-ROW(A103)</f>
        <v>#REF!</v>
      </c>
      <c r="B103" s="14">
        <v>0</v>
      </c>
      <c r="C103" s="74"/>
      <c r="D103" s="220" t="s">
        <v>1958</v>
      </c>
      <c r="E103" s="78"/>
      <c r="F103" s="20" t="s">
        <v>1959</v>
      </c>
      <c r="G103" s="21"/>
      <c r="H103" s="21"/>
      <c r="I103" s="21"/>
      <c r="J103" s="21"/>
      <c r="K103" s="21"/>
      <c r="L103" s="21"/>
      <c r="M103" s="21"/>
      <c r="N103" s="21"/>
      <c r="O103" s="21"/>
      <c r="P103" s="21"/>
      <c r="Q103" s="21"/>
      <c r="R103" s="22"/>
      <c r="S103" s="21"/>
      <c r="T103" s="21"/>
      <c r="U103" s="21"/>
      <c r="V103" s="21"/>
      <c r="W103" s="21"/>
    </row>
    <row r="104" spans="1:23" ht="36.6" customHeight="1">
      <c r="B104" s="14">
        <f t="shared" ref="B104:B108" ca="1" si="20">1+ OFFSET(B104,-1,0)</f>
        <v>1</v>
      </c>
      <c r="C104" s="74"/>
      <c r="D104" s="221"/>
      <c r="E104" s="43"/>
      <c r="F104" s="23"/>
      <c r="G104" s="24"/>
      <c r="H104" s="24"/>
      <c r="I104" s="25"/>
      <c r="J104" s="25"/>
      <c r="K104" s="29">
        <f>SUM(K107:K111)</f>
        <v>0</v>
      </c>
      <c r="L104" s="30" t="s">
        <v>32</v>
      </c>
      <c r="M104" s="25"/>
      <c r="N104" s="25"/>
      <c r="O104" s="25"/>
      <c r="P104" s="25"/>
      <c r="Q104" s="25"/>
      <c r="R104" s="26"/>
      <c r="S104" s="25"/>
      <c r="T104" s="25"/>
      <c r="U104" s="25"/>
      <c r="V104" s="25"/>
      <c r="W104" s="25"/>
    </row>
    <row r="105" spans="1:23" ht="12.6" customHeight="1">
      <c r="B105" s="14">
        <f t="shared" ca="1" si="20"/>
        <v>2</v>
      </c>
      <c r="C105" s="74"/>
      <c r="D105" s="221"/>
      <c r="E105" s="77"/>
      <c r="F105" s="23"/>
      <c r="G105" s="24"/>
      <c r="H105" s="24"/>
      <c r="I105" s="25"/>
      <c r="J105" s="25"/>
      <c r="K105" s="25"/>
      <c r="L105" s="25"/>
      <c r="M105" s="25"/>
      <c r="N105" s="25"/>
      <c r="O105" s="25"/>
      <c r="P105" s="25"/>
      <c r="Q105" s="25"/>
      <c r="R105" s="24"/>
      <c r="S105" s="25"/>
      <c r="T105" s="25"/>
      <c r="U105" s="25"/>
      <c r="V105" s="25"/>
      <c r="W105" s="25"/>
    </row>
    <row r="106" spans="1:23" ht="50.1" customHeight="1">
      <c r="B106" s="14">
        <f t="shared" ca="1" si="20"/>
        <v>3</v>
      </c>
      <c r="C106" s="74"/>
      <c r="D106" s="221"/>
      <c r="E106" s="73"/>
      <c r="F106" s="23"/>
      <c r="G106" s="33"/>
      <c r="H106" s="35" t="s">
        <v>1078</v>
      </c>
      <c r="I106" s="94" t="s">
        <v>36</v>
      </c>
      <c r="J106" s="25"/>
      <c r="K106" s="98" t="s">
        <v>1062</v>
      </c>
      <c r="L106" s="99"/>
      <c r="M106" s="25"/>
      <c r="N106" s="98" t="s">
        <v>1079</v>
      </c>
      <c r="O106" s="96"/>
      <c r="P106" s="97"/>
      <c r="Q106" s="144"/>
      <c r="R106" s="25"/>
      <c r="S106" s="36" t="s">
        <v>30</v>
      </c>
      <c r="T106" s="25"/>
      <c r="U106" s="25"/>
      <c r="V106" s="25"/>
      <c r="W106" s="25"/>
    </row>
    <row r="107" spans="1:23" ht="30">
      <c r="B107" s="14">
        <f t="shared" ca="1" si="20"/>
        <v>4</v>
      </c>
      <c r="C107" s="74"/>
      <c r="D107" s="221"/>
      <c r="E107" s="73"/>
      <c r="F107" s="27"/>
      <c r="G107" s="32" t="s">
        <v>1065</v>
      </c>
      <c r="H107" s="100" t="s">
        <v>60</v>
      </c>
      <c r="I107" s="103"/>
      <c r="J107" s="25"/>
      <c r="K107" s="86">
        <f>I107*O107/1000</f>
        <v>0</v>
      </c>
      <c r="L107" s="85" t="s">
        <v>1057</v>
      </c>
      <c r="M107" s="25"/>
      <c r="N107" s="32" t="s">
        <v>86</v>
      </c>
      <c r="O107" s="101">
        <v>5.9900000000000002E-2</v>
      </c>
      <c r="P107" s="34" t="s">
        <v>1082</v>
      </c>
      <c r="Q107" s="24"/>
      <c r="R107" s="25"/>
      <c r="S107" s="31"/>
      <c r="T107" s="25"/>
      <c r="U107" s="25"/>
      <c r="V107" s="25"/>
      <c r="W107" s="25"/>
    </row>
    <row r="108" spans="1:23" ht="31.5" customHeight="1">
      <c r="B108" s="14">
        <f t="shared" ca="1" si="20"/>
        <v>5</v>
      </c>
      <c r="C108" s="74"/>
      <c r="D108" s="221"/>
      <c r="E108" s="77"/>
      <c r="F108" s="27"/>
      <c r="G108" s="32" t="s">
        <v>1961</v>
      </c>
      <c r="H108" s="100" t="s">
        <v>60</v>
      </c>
      <c r="I108" s="165"/>
      <c r="J108" s="25"/>
      <c r="K108" s="86">
        <f>I108*O108/1000</f>
        <v>0</v>
      </c>
      <c r="L108" s="85" t="s">
        <v>1057</v>
      </c>
      <c r="M108" s="25"/>
      <c r="N108" s="32" t="str">
        <f>'FE MAJ'!A1355</f>
        <v>Photovoltaïque, fabrication Chine (par défaut)     /kWh</v>
      </c>
      <c r="O108" s="102">
        <f>'FE MAJ'!C1355</f>
        <v>4.3900000000000002E-2</v>
      </c>
      <c r="P108" s="34" t="s">
        <v>1082</v>
      </c>
      <c r="Q108" s="24"/>
      <c r="R108" s="25"/>
      <c r="S108" s="31"/>
      <c r="T108" s="25"/>
      <c r="U108" s="25"/>
      <c r="V108" s="25"/>
      <c r="W108" s="25"/>
    </row>
    <row r="109" spans="1:23" ht="23.4" customHeight="1">
      <c r="C109" s="74"/>
      <c r="D109" s="221"/>
      <c r="E109" s="73"/>
      <c r="F109" s="27"/>
      <c r="G109" s="32" t="s">
        <v>1960</v>
      </c>
      <c r="H109" s="100" t="s">
        <v>60</v>
      </c>
      <c r="I109" s="165"/>
      <c r="J109" s="25"/>
      <c r="K109" s="86">
        <f>I109*O109/1000</f>
        <v>0</v>
      </c>
      <c r="L109" s="85" t="s">
        <v>1057</v>
      </c>
      <c r="M109" s="25"/>
      <c r="N109" s="32" t="str">
        <f>'FE MAJ'!A1266</f>
        <v>Gaz naturel      /kWh PCI</v>
      </c>
      <c r="O109" s="102">
        <f>'FE MAJ'!C1266</f>
        <v>0.24399999999999999</v>
      </c>
      <c r="P109" s="34" t="s">
        <v>1082</v>
      </c>
      <c r="Q109" s="24"/>
      <c r="R109" s="25"/>
      <c r="S109" s="31"/>
      <c r="T109" s="25"/>
      <c r="U109" s="25"/>
      <c r="V109" s="25"/>
      <c r="W109" s="25"/>
    </row>
    <row r="110" spans="1:23" ht="23.25" customHeight="1">
      <c r="C110" s="74"/>
      <c r="D110" s="221"/>
      <c r="E110" s="73"/>
      <c r="F110" s="27"/>
      <c r="G110" s="32" t="s">
        <v>1066</v>
      </c>
      <c r="H110" s="100" t="s">
        <v>1068</v>
      </c>
      <c r="I110" s="165"/>
      <c r="J110" s="25"/>
      <c r="K110" s="86">
        <f>I110*O110/1000</f>
        <v>0</v>
      </c>
      <c r="L110" s="85" t="s">
        <v>1057</v>
      </c>
      <c r="M110" s="25"/>
      <c r="N110" s="32" t="s">
        <v>1080</v>
      </c>
      <c r="O110" s="102">
        <v>3.28</v>
      </c>
      <c r="P110" s="34" t="s">
        <v>1083</v>
      </c>
      <c r="Q110" s="24"/>
      <c r="R110" s="25"/>
      <c r="S110" s="31"/>
      <c r="T110" s="25"/>
      <c r="U110" s="25"/>
      <c r="V110" s="25"/>
      <c r="W110" s="25"/>
    </row>
    <row r="111" spans="1:23" ht="30">
      <c r="C111" s="74"/>
      <c r="D111" s="221"/>
      <c r="E111" s="73"/>
      <c r="F111" s="27"/>
      <c r="G111" s="32" t="s">
        <v>1067</v>
      </c>
      <c r="H111" s="100" t="s">
        <v>1068</v>
      </c>
      <c r="I111" s="166"/>
      <c r="J111" s="25"/>
      <c r="K111" s="86">
        <f>I111*O111/1000</f>
        <v>0</v>
      </c>
      <c r="L111" s="85" t="s">
        <v>1057</v>
      </c>
      <c r="M111" s="25"/>
      <c r="N111" s="32" t="s">
        <v>1081</v>
      </c>
      <c r="O111" s="102">
        <v>3.1690316542833727</v>
      </c>
      <c r="P111" s="34" t="s">
        <v>1083</v>
      </c>
      <c r="Q111" s="24"/>
      <c r="R111" s="25"/>
      <c r="S111" s="31"/>
      <c r="T111" s="25"/>
      <c r="U111" s="25"/>
      <c r="V111" s="25"/>
      <c r="W111" s="25"/>
    </row>
    <row r="112" spans="1:23">
      <c r="C112" s="74"/>
      <c r="D112" s="221"/>
      <c r="E112" s="73"/>
      <c r="F112" s="37"/>
      <c r="G112" s="38"/>
      <c r="H112" s="38"/>
      <c r="I112" s="38"/>
      <c r="J112" s="38"/>
      <c r="K112" s="38"/>
      <c r="L112" s="38"/>
      <c r="M112" s="38"/>
      <c r="N112" s="38"/>
      <c r="O112" s="38"/>
      <c r="P112" s="38"/>
      <c r="Q112" s="38"/>
      <c r="R112" s="39"/>
      <c r="S112" s="38"/>
      <c r="T112" s="25"/>
      <c r="U112" s="25"/>
      <c r="V112" s="25"/>
      <c r="W112" s="25"/>
    </row>
    <row r="113" spans="2:23" ht="15" customHeight="1">
      <c r="C113" s="74"/>
      <c r="D113" s="221"/>
      <c r="E113" s="73"/>
    </row>
    <row r="114" spans="2:23" ht="21">
      <c r="D114" s="221"/>
      <c r="F114" s="20" t="s">
        <v>1962</v>
      </c>
      <c r="G114" s="21"/>
      <c r="H114" s="21"/>
      <c r="I114" s="21"/>
      <c r="J114" s="21"/>
      <c r="K114" s="21"/>
      <c r="L114" s="21"/>
      <c r="M114" s="21"/>
      <c r="N114" s="21"/>
      <c r="O114" s="21"/>
      <c r="P114" s="21"/>
      <c r="Q114" s="21"/>
      <c r="R114" s="22"/>
      <c r="S114" s="21"/>
      <c r="T114" s="21"/>
      <c r="U114" s="21"/>
      <c r="V114" s="21"/>
      <c r="W114" s="21"/>
    </row>
    <row r="115" spans="2:23" ht="17.399999999999999">
      <c r="D115" s="221"/>
      <c r="F115" s="23"/>
      <c r="G115" s="24"/>
      <c r="H115" s="24"/>
      <c r="I115" s="25"/>
      <c r="J115" s="25"/>
      <c r="K115" s="29">
        <f>SUM(K119:K125)</f>
        <v>0</v>
      </c>
      <c r="L115" s="30" t="s">
        <v>32</v>
      </c>
      <c r="M115" s="25"/>
      <c r="N115" s="25"/>
      <c r="O115" s="25"/>
      <c r="P115" s="25"/>
      <c r="Q115" s="25"/>
      <c r="R115" s="26"/>
      <c r="S115" s="25"/>
      <c r="T115" s="25"/>
      <c r="U115" s="25"/>
      <c r="V115" s="25"/>
      <c r="W115" s="25"/>
    </row>
    <row r="116" spans="2:23">
      <c r="D116" s="221"/>
      <c r="F116" s="23"/>
      <c r="G116" s="24"/>
      <c r="H116" s="24"/>
      <c r="I116" s="25"/>
      <c r="J116" s="25"/>
      <c r="K116" s="25"/>
      <c r="L116" s="25"/>
      <c r="M116" s="25"/>
      <c r="N116" s="25"/>
      <c r="O116" s="25"/>
      <c r="P116" s="25"/>
      <c r="Q116" s="25"/>
      <c r="R116" s="24"/>
      <c r="S116" s="25"/>
      <c r="T116" s="25"/>
      <c r="U116" s="25"/>
      <c r="V116" s="25"/>
      <c r="W116" s="25"/>
    </row>
    <row r="117" spans="2:23" ht="31.2">
      <c r="D117" s="221"/>
      <c r="F117" s="23"/>
      <c r="G117" s="33"/>
      <c r="H117" s="35" t="s">
        <v>1078</v>
      </c>
      <c r="I117" s="94" t="s">
        <v>36</v>
      </c>
      <c r="J117" s="25"/>
      <c r="K117" s="98" t="s">
        <v>1062</v>
      </c>
      <c r="L117" s="99"/>
      <c r="M117" s="25"/>
      <c r="N117" s="98" t="s">
        <v>1079</v>
      </c>
      <c r="O117" s="96"/>
      <c r="P117" s="97"/>
      <c r="Q117" s="144"/>
      <c r="R117" s="25"/>
      <c r="S117" s="36" t="s">
        <v>30</v>
      </c>
      <c r="T117" s="25"/>
      <c r="U117" s="25"/>
      <c r="V117" s="25"/>
      <c r="W117" s="25"/>
    </row>
    <row r="118" spans="2:23" ht="30">
      <c r="D118" s="221"/>
      <c r="F118" s="23"/>
      <c r="G118" s="32" t="s">
        <v>1969</v>
      </c>
      <c r="H118" s="100" t="s">
        <v>45</v>
      </c>
      <c r="I118" s="103"/>
      <c r="J118" s="25"/>
      <c r="K118" s="86">
        <f>I118*O118/1000</f>
        <v>0</v>
      </c>
      <c r="L118" s="85" t="s">
        <v>1057</v>
      </c>
      <c r="M118" s="25"/>
      <c r="N118" s="32" t="s">
        <v>1970</v>
      </c>
      <c r="O118" s="101">
        <f>'FE MAJ'!C1106</f>
        <v>2.9499999999999998E-2</v>
      </c>
      <c r="P118" s="32" t="s">
        <v>1963</v>
      </c>
      <c r="Q118" s="144"/>
      <c r="R118" s="25"/>
      <c r="S118" s="31"/>
      <c r="T118" s="25"/>
      <c r="U118" s="25"/>
      <c r="V118" s="25"/>
      <c r="W118" s="25"/>
    </row>
    <row r="119" spans="2:23" ht="30">
      <c r="D119" s="221"/>
      <c r="F119" s="27"/>
      <c r="G119" s="32" t="s">
        <v>1965</v>
      </c>
      <c r="H119" s="100" t="s">
        <v>45</v>
      </c>
      <c r="I119" s="103"/>
      <c r="J119" s="25"/>
      <c r="K119" s="86">
        <f>I119*O119/1000</f>
        <v>0</v>
      </c>
      <c r="L119" s="85" t="s">
        <v>1057</v>
      </c>
      <c r="M119" s="25"/>
      <c r="N119" s="32" t="str">
        <f>'FE MAJ'!A1094</f>
        <v>Train grandes lignes      /p.km</v>
      </c>
      <c r="O119" s="101">
        <f>'FE MAJ'!C1094</f>
        <v>5.9199999999999999E-3</v>
      </c>
      <c r="P119" s="32" t="s">
        <v>1963</v>
      </c>
      <c r="Q119" s="24"/>
      <c r="R119" s="25"/>
      <c r="S119" s="31"/>
      <c r="T119" s="25"/>
      <c r="U119" s="25"/>
      <c r="V119" s="25"/>
      <c r="W119" s="25"/>
    </row>
    <row r="120" spans="2:23" ht="38.4" customHeight="1">
      <c r="D120" s="221"/>
      <c r="F120" s="27"/>
      <c r="G120" s="32" t="s">
        <v>1968</v>
      </c>
      <c r="H120" s="100" t="s">
        <v>45</v>
      </c>
      <c r="I120" s="103"/>
      <c r="J120" s="25"/>
      <c r="K120" s="86">
        <f>I120*O120/1000</f>
        <v>0</v>
      </c>
      <c r="L120" s="85" t="s">
        <v>1057</v>
      </c>
      <c r="M120" s="25"/>
      <c r="N120" s="32" t="s">
        <v>1755</v>
      </c>
      <c r="O120" s="101">
        <v>0.25900000000000001</v>
      </c>
      <c r="P120" s="32" t="s">
        <v>1963</v>
      </c>
      <c r="Q120" s="24"/>
      <c r="R120" s="25"/>
      <c r="S120" s="31"/>
      <c r="T120" s="25"/>
      <c r="U120" s="25"/>
      <c r="V120" s="25"/>
      <c r="W120" s="25"/>
    </row>
    <row r="121" spans="2:23" ht="30">
      <c r="D121" s="221"/>
      <c r="F121" s="27"/>
      <c r="G121" s="32" t="s">
        <v>1966</v>
      </c>
      <c r="H121" s="100" t="s">
        <v>45</v>
      </c>
      <c r="I121" s="103"/>
      <c r="J121" s="25"/>
      <c r="K121" s="86">
        <f>I121*O121/1000</f>
        <v>0</v>
      </c>
      <c r="L121" s="85" t="s">
        <v>1057</v>
      </c>
      <c r="M121" s="25"/>
      <c r="N121" s="32" t="str">
        <f>'FE MAJ'!A1022</f>
        <v>Ensemble - VP moyen     /veh.km</v>
      </c>
      <c r="O121" s="101">
        <f>'FE MAJ'!C1022</f>
        <v>0.19040000000000001</v>
      </c>
      <c r="P121" s="34" t="s">
        <v>1964</v>
      </c>
      <c r="Q121" s="24"/>
      <c r="R121" s="25"/>
      <c r="S121" s="31"/>
      <c r="T121" s="25"/>
      <c r="U121" s="25"/>
      <c r="V121" s="25"/>
      <c r="W121" s="25"/>
    </row>
    <row r="122" spans="2:23" ht="15.6" thickBot="1">
      <c r="C122" s="74"/>
      <c r="D122" s="222"/>
      <c r="E122" s="73"/>
      <c r="F122" s="37"/>
      <c r="G122" s="38"/>
      <c r="H122" s="38"/>
      <c r="I122" s="38"/>
      <c r="J122" s="38"/>
      <c r="K122" s="38"/>
      <c r="L122" s="38"/>
      <c r="M122" s="38"/>
      <c r="N122" s="38"/>
      <c r="O122" s="38"/>
      <c r="P122" s="38"/>
      <c r="Q122" s="38"/>
      <c r="R122" s="39"/>
      <c r="S122" s="38"/>
      <c r="T122" s="25"/>
      <c r="U122" s="25"/>
      <c r="V122" s="25"/>
      <c r="W122" s="25"/>
    </row>
    <row r="123" spans="2:23" ht="15.6" thickBot="1"/>
    <row r="124" spans="2:23" ht="26.1" customHeight="1">
      <c r="C124" s="74"/>
      <c r="D124" s="220" t="s">
        <v>1974</v>
      </c>
      <c r="E124" s="73"/>
      <c r="F124" s="20" t="s">
        <v>1973</v>
      </c>
      <c r="G124" s="21"/>
      <c r="H124" s="21"/>
      <c r="I124" s="21"/>
      <c r="J124" s="21"/>
      <c r="K124" s="21"/>
      <c r="L124" s="21"/>
      <c r="M124" s="21"/>
      <c r="N124" s="21"/>
      <c r="O124" s="21"/>
      <c r="P124" s="21"/>
      <c r="Q124" s="21"/>
      <c r="R124" s="22"/>
      <c r="S124" s="21"/>
      <c r="T124" s="21"/>
      <c r="U124" s="21"/>
      <c r="V124" s="21"/>
      <c r="W124" s="21"/>
    </row>
    <row r="125" spans="2:23" ht="35.4" customHeight="1">
      <c r="B125" s="14">
        <f t="shared" ref="B125:B128" ca="1" si="21">1+ OFFSET(B125,-1,0)</f>
        <v>1</v>
      </c>
      <c r="C125" s="74"/>
      <c r="D125" s="221"/>
      <c r="E125" s="87"/>
      <c r="F125" s="23"/>
      <c r="G125" s="24"/>
      <c r="H125" s="24" t="s">
        <v>49</v>
      </c>
      <c r="I125" s="25"/>
      <c r="J125" s="25"/>
      <c r="K125" s="29">
        <f>SUM(K128:K132)</f>
        <v>0</v>
      </c>
      <c r="L125" s="30" t="s">
        <v>32</v>
      </c>
      <c r="M125" s="25"/>
      <c r="N125" s="25"/>
      <c r="O125" s="25"/>
      <c r="P125" s="25"/>
      <c r="Q125" s="25"/>
      <c r="R125" s="24"/>
      <c r="S125" s="25"/>
      <c r="T125" s="25"/>
      <c r="U125" s="25"/>
      <c r="V125" s="25"/>
      <c r="W125" s="25"/>
    </row>
    <row r="126" spans="2:23">
      <c r="C126" s="74"/>
      <c r="D126" s="221"/>
      <c r="E126" s="87"/>
      <c r="F126" s="23"/>
      <c r="G126" s="24"/>
      <c r="H126" s="24"/>
      <c r="I126" s="25"/>
      <c r="J126" s="25"/>
      <c r="K126" s="25"/>
      <c r="L126" s="25"/>
      <c r="M126" s="25"/>
      <c r="N126" s="25"/>
      <c r="O126" s="25"/>
      <c r="P126" s="25"/>
      <c r="Q126" s="25"/>
      <c r="R126" s="24"/>
      <c r="S126" s="25"/>
      <c r="T126" s="25"/>
      <c r="U126" s="25"/>
      <c r="V126" s="25"/>
      <c r="W126" s="25"/>
    </row>
    <row r="127" spans="2:23" ht="51" customHeight="1">
      <c r="B127" s="14">
        <f t="shared" ca="1" si="21"/>
        <v>1</v>
      </c>
      <c r="C127" s="74"/>
      <c r="D127" s="221"/>
      <c r="E127" s="77"/>
      <c r="F127" s="23"/>
      <c r="G127" s="33"/>
      <c r="H127" s="35" t="s">
        <v>1078</v>
      </c>
      <c r="I127" s="40" t="s">
        <v>36</v>
      </c>
      <c r="J127" s="25"/>
      <c r="K127" s="223" t="s">
        <v>1062</v>
      </c>
      <c r="L127" s="224"/>
      <c r="M127" s="25"/>
      <c r="N127" s="225" t="s">
        <v>1079</v>
      </c>
      <c r="O127" s="226"/>
      <c r="P127" s="227"/>
      <c r="Q127" s="144"/>
      <c r="R127" s="25"/>
      <c r="S127" s="36" t="s">
        <v>1956</v>
      </c>
      <c r="T127" s="25"/>
      <c r="U127" s="25"/>
      <c r="V127" s="25"/>
      <c r="W127" s="25"/>
    </row>
    <row r="128" spans="2:23" ht="60">
      <c r="B128" s="14">
        <f t="shared" ca="1" si="21"/>
        <v>2</v>
      </c>
      <c r="C128" s="74"/>
      <c r="D128" s="221"/>
      <c r="E128" s="73"/>
      <c r="F128" s="27"/>
      <c r="G128" s="32" t="s">
        <v>662</v>
      </c>
      <c r="H128" s="100" t="s">
        <v>1087</v>
      </c>
      <c r="I128" s="160"/>
      <c r="J128" s="25"/>
      <c r="K128" s="86">
        <f>I128*O128/1000</f>
        <v>0</v>
      </c>
      <c r="L128" s="84" t="s">
        <v>1057</v>
      </c>
      <c r="M128" s="25"/>
      <c r="N128" s="32" t="s">
        <v>47</v>
      </c>
      <c r="O128" s="104">
        <f>'FE MAJ'!C967/12.5</f>
        <v>0.43439999999999995</v>
      </c>
      <c r="P128" s="34" t="s">
        <v>1088</v>
      </c>
      <c r="Q128" s="24"/>
      <c r="R128" s="25"/>
      <c r="S128" s="31"/>
      <c r="T128" s="25"/>
      <c r="U128" s="25"/>
      <c r="V128" s="25"/>
      <c r="W128" s="25"/>
    </row>
    <row r="129" spans="3:23" ht="30">
      <c r="C129" s="74"/>
      <c r="D129" s="221"/>
      <c r="E129" s="73"/>
      <c r="F129" s="27"/>
      <c r="G129" s="32" t="s">
        <v>698</v>
      </c>
      <c r="H129" s="100" t="s">
        <v>1087</v>
      </c>
      <c r="I129" s="160"/>
      <c r="J129" s="25"/>
      <c r="K129" s="86">
        <f>I129*O129/1000</f>
        <v>0</v>
      </c>
      <c r="L129" s="84" t="s">
        <v>1057</v>
      </c>
      <c r="M129" s="25"/>
      <c r="N129" s="32" t="s">
        <v>713</v>
      </c>
      <c r="O129" s="104">
        <v>1.0199999999999997E-2</v>
      </c>
      <c r="P129" s="34" t="s">
        <v>1088</v>
      </c>
      <c r="Q129" s="24"/>
      <c r="R129" s="25"/>
      <c r="S129" s="31"/>
      <c r="T129" s="25"/>
      <c r="U129" s="25"/>
      <c r="V129" s="25"/>
      <c r="W129" s="25"/>
    </row>
    <row r="130" spans="3:23" ht="30">
      <c r="C130" s="74"/>
      <c r="D130" s="221"/>
      <c r="E130" s="73"/>
      <c r="F130" s="27"/>
      <c r="G130" s="32" t="s">
        <v>781</v>
      </c>
      <c r="H130" s="100" t="s">
        <v>1087</v>
      </c>
      <c r="I130" s="160"/>
      <c r="J130" s="25"/>
      <c r="K130" s="86">
        <f>I130*O130/1000</f>
        <v>0</v>
      </c>
      <c r="L130" s="84" t="s">
        <v>1057</v>
      </c>
      <c r="M130" s="25"/>
      <c r="N130" s="32" t="s">
        <v>1060</v>
      </c>
      <c r="O130" s="104">
        <v>5.0639999999999998E-2</v>
      </c>
      <c r="P130" s="34" t="s">
        <v>1088</v>
      </c>
      <c r="Q130" s="24"/>
      <c r="R130" s="25"/>
      <c r="S130" s="31"/>
      <c r="T130" s="25"/>
      <c r="U130" s="25"/>
      <c r="V130" s="25"/>
      <c r="W130" s="25"/>
    </row>
    <row r="131" spans="3:23" ht="30">
      <c r="C131" s="74"/>
      <c r="D131" s="221"/>
      <c r="E131" s="73"/>
      <c r="F131" s="27"/>
      <c r="G131" s="32" t="s">
        <v>767</v>
      </c>
      <c r="H131" s="100" t="s">
        <v>1087</v>
      </c>
      <c r="I131" s="160"/>
      <c r="J131" s="25"/>
      <c r="K131" s="86">
        <f>I131*O131/1000</f>
        <v>0</v>
      </c>
      <c r="L131" s="84" t="s">
        <v>1057</v>
      </c>
      <c r="M131" s="25"/>
      <c r="N131" s="32" t="s">
        <v>770</v>
      </c>
      <c r="O131" s="104">
        <v>1.0666</v>
      </c>
      <c r="P131" s="34" t="s">
        <v>1088</v>
      </c>
      <c r="Q131" s="24"/>
      <c r="R131" s="25"/>
      <c r="S131" s="31"/>
      <c r="T131" s="25"/>
      <c r="U131" s="25"/>
      <c r="V131" s="25"/>
      <c r="W131" s="25"/>
    </row>
    <row r="132" spans="3:23" ht="30">
      <c r="C132" s="74"/>
      <c r="D132" s="221"/>
      <c r="E132" s="73"/>
      <c r="F132" s="27"/>
      <c r="G132" s="32" t="s">
        <v>721</v>
      </c>
      <c r="H132" s="100" t="s">
        <v>1087</v>
      </c>
      <c r="I132" s="160"/>
      <c r="J132" s="25"/>
      <c r="K132" s="86">
        <f>I132*O132/1000</f>
        <v>0</v>
      </c>
      <c r="L132" s="84" t="s">
        <v>1057</v>
      </c>
      <c r="M132" s="25"/>
      <c r="N132" s="32" t="s">
        <v>755</v>
      </c>
      <c r="O132" s="104">
        <v>1.0734E-2</v>
      </c>
      <c r="P132" s="34" t="s">
        <v>1088</v>
      </c>
      <c r="Q132" s="24"/>
      <c r="R132" s="25"/>
      <c r="S132" s="31"/>
      <c r="T132" s="25"/>
      <c r="U132" s="25"/>
      <c r="V132" s="25"/>
      <c r="W132" s="25"/>
    </row>
    <row r="133" spans="3:23" ht="21.6" customHeight="1" thickBot="1">
      <c r="C133" s="74"/>
      <c r="D133" s="222"/>
      <c r="E133" s="73"/>
      <c r="F133" s="37"/>
      <c r="G133" s="38"/>
      <c r="H133" s="38"/>
      <c r="I133" s="38"/>
      <c r="J133" s="38"/>
      <c r="K133" s="38"/>
      <c r="L133" s="38"/>
      <c r="M133" s="38"/>
      <c r="N133" s="38"/>
      <c r="O133" s="38"/>
      <c r="P133" s="38"/>
      <c r="Q133" s="38"/>
      <c r="R133" s="39"/>
      <c r="S133" s="38"/>
      <c r="T133" s="38"/>
      <c r="U133" s="38"/>
      <c r="V133" s="38"/>
      <c r="W133" s="38"/>
    </row>
  </sheetData>
  <mergeCells count="19">
    <mergeCell ref="D49:D77"/>
    <mergeCell ref="F3:W3"/>
    <mergeCell ref="K14:L14"/>
    <mergeCell ref="N14:P14"/>
    <mergeCell ref="K41:L41"/>
    <mergeCell ref="N41:P41"/>
    <mergeCell ref="K52:L52"/>
    <mergeCell ref="N52:P52"/>
    <mergeCell ref="K69:L69"/>
    <mergeCell ref="N69:P69"/>
    <mergeCell ref="D11:D21"/>
    <mergeCell ref="D23:D47"/>
    <mergeCell ref="D124:D133"/>
    <mergeCell ref="K127:L127"/>
    <mergeCell ref="N127:P127"/>
    <mergeCell ref="D103:D122"/>
    <mergeCell ref="D79:D101"/>
    <mergeCell ref="K82:L82"/>
    <mergeCell ref="N82:P82"/>
  </mergeCells>
  <phoneticPr fontId="22" type="noConversion"/>
  <dataValidations count="2">
    <dataValidation type="list" allowBlank="1" showInputMessage="1" showErrorMessage="1" sqref="U77 U21 U47 U64 O35 O46 O63 U133 O100 O76 U36 O29" xr:uid="{70AFFE2C-E9E9-4D53-A93F-37C330BDCA4D}">
      <formula1>lisetevalFE</formula1>
    </dataValidation>
    <dataValidation type="list" allowBlank="1" showInputMessage="1" showErrorMessage="1" sqref="T77 T21 T47 T64 N35 N46 N63 T133 N100 N75:N76 T36 N29" xr:uid="{BEBFAA0F-97E7-425B-8123-9FB9CC9D2E81}">
      <formula1>surindexFE</formula1>
    </dataValidation>
  </dataValidations>
  <pageMargins left="0.25" right="0.25" top="0.75" bottom="0.75" header="0.3" footer="0.3"/>
  <pageSetup paperSize="8" scale="59" fitToHeight="0" orientation="landscape" horizontalDpi="4294967292" verticalDpi="4294967292" r:id="rId1"/>
  <rowBreaks count="3" manualBreakCount="3">
    <brk id="47" min="3" max="22" man="1"/>
    <brk id="78" min="3" max="22" man="1"/>
    <brk id="123" min="3"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D48DF-51AC-4FD1-9BC2-6C80036C2AB4}">
  <sheetPr codeName="Feuil2"/>
  <dimension ref="A1:K1475"/>
  <sheetViews>
    <sheetView topLeftCell="A469" zoomScale="85" zoomScaleNormal="85" workbookViewId="0">
      <selection activeCell="A458" sqref="A458"/>
    </sheetView>
  </sheetViews>
  <sheetFormatPr baseColWidth="10" defaultColWidth="12.59765625" defaultRowHeight="15"/>
  <cols>
    <col min="1" max="1" width="73" style="14" customWidth="1"/>
    <col min="2" max="2" width="12.59765625" style="14"/>
    <col min="3" max="3" width="16.5" style="14" bestFit="1" customWidth="1"/>
    <col min="4" max="4" width="16" style="46" customWidth="1"/>
    <col min="5" max="5" width="17.5" style="14" customWidth="1"/>
    <col min="6" max="6" width="20.3984375" style="14" customWidth="1"/>
    <col min="7" max="7" width="31.09765625" style="14" customWidth="1"/>
    <col min="8" max="16384" width="12.59765625" style="14"/>
  </cols>
  <sheetData>
    <row r="1" spans="1:9" ht="15.6" hidden="1">
      <c r="A1" s="51" t="s">
        <v>64</v>
      </c>
    </row>
    <row r="2" spans="1:9" ht="15.6" hidden="1">
      <c r="A2" s="51" t="s">
        <v>130</v>
      </c>
    </row>
    <row r="3" spans="1:9" ht="15.6" hidden="1">
      <c r="A3" s="51" t="s">
        <v>26</v>
      </c>
    </row>
    <row r="4" spans="1:9" ht="15.6" hidden="1">
      <c r="A4" s="51" t="s">
        <v>25</v>
      </c>
    </row>
    <row r="5" spans="1:9" ht="15.6" hidden="1">
      <c r="A5" s="51" t="s">
        <v>23</v>
      </c>
    </row>
    <row r="6" spans="1:9" hidden="1"/>
    <row r="7" spans="1:9" hidden="1"/>
    <row r="8" spans="1:9" hidden="1"/>
    <row r="9" spans="1:9" hidden="1"/>
    <row r="10" spans="1:9" ht="35.1" customHeight="1">
      <c r="A10" s="52" t="s">
        <v>128</v>
      </c>
      <c r="B10" s="53" t="s">
        <v>131</v>
      </c>
      <c r="C10" s="52" t="s">
        <v>127</v>
      </c>
      <c r="D10" s="54" t="s">
        <v>132</v>
      </c>
      <c r="E10" s="52" t="s">
        <v>133</v>
      </c>
      <c r="F10" s="52" t="s">
        <v>134</v>
      </c>
      <c r="G10" s="52" t="s">
        <v>30</v>
      </c>
      <c r="H10" s="52"/>
      <c r="I10" s="52"/>
    </row>
    <row r="11" spans="1:9" ht="24" customHeight="1">
      <c r="A11" s="51" t="s">
        <v>64</v>
      </c>
      <c r="B11" s="55"/>
      <c r="C11" s="55"/>
      <c r="D11" s="56"/>
      <c r="E11" s="55"/>
      <c r="F11" s="55"/>
      <c r="G11" s="55"/>
      <c r="H11" s="55"/>
      <c r="I11" s="55"/>
    </row>
    <row r="12" spans="1:9">
      <c r="A12" s="17" t="s">
        <v>56</v>
      </c>
      <c r="B12" s="17"/>
      <c r="C12" s="17"/>
      <c r="D12" s="57"/>
      <c r="E12" s="17"/>
      <c r="F12" s="17"/>
      <c r="G12" s="17"/>
      <c r="H12" s="17"/>
      <c r="I12" s="17"/>
    </row>
    <row r="13" spans="1:9" s="108" customFormat="1">
      <c r="A13" s="105" t="s">
        <v>103</v>
      </c>
      <c r="B13" s="105" t="s">
        <v>55</v>
      </c>
      <c r="C13" s="106">
        <v>88</v>
      </c>
      <c r="D13" s="107">
        <v>0.2</v>
      </c>
      <c r="E13" s="105" t="s">
        <v>24</v>
      </c>
      <c r="F13" s="105" t="s">
        <v>1099</v>
      </c>
      <c r="G13" s="105"/>
      <c r="H13" s="105" t="s">
        <v>64</v>
      </c>
      <c r="I13" s="105" t="s">
        <v>136</v>
      </c>
    </row>
    <row r="14" spans="1:9" s="108" customFormat="1" ht="15.6">
      <c r="A14" s="105" t="s">
        <v>70</v>
      </c>
      <c r="B14" s="105" t="s">
        <v>44</v>
      </c>
      <c r="C14" s="106">
        <f>2.3*C13</f>
        <v>202.39999999999998</v>
      </c>
      <c r="D14" s="109">
        <v>0.3</v>
      </c>
      <c r="E14" s="105" t="s">
        <v>24</v>
      </c>
      <c r="F14" s="105" t="s">
        <v>1100</v>
      </c>
      <c r="G14" s="105" t="s">
        <v>1101</v>
      </c>
      <c r="H14" s="105" t="s">
        <v>64</v>
      </c>
      <c r="I14" s="105" t="s">
        <v>136</v>
      </c>
    </row>
    <row r="15" spans="1:9" s="108" customFormat="1">
      <c r="A15" s="105" t="s">
        <v>1102</v>
      </c>
      <c r="B15" s="105" t="s">
        <v>55</v>
      </c>
      <c r="C15" s="106">
        <v>11</v>
      </c>
      <c r="D15" s="107"/>
      <c r="E15" s="105" t="s">
        <v>24</v>
      </c>
      <c r="F15" s="105" t="s">
        <v>1099</v>
      </c>
      <c r="G15" s="105"/>
      <c r="H15" s="105" t="s">
        <v>64</v>
      </c>
      <c r="I15" s="105" t="s">
        <v>136</v>
      </c>
    </row>
    <row r="16" spans="1:9" s="108" customFormat="1">
      <c r="A16" s="105" t="s">
        <v>1103</v>
      </c>
      <c r="B16" s="105" t="s">
        <v>55</v>
      </c>
      <c r="C16" s="106">
        <v>26</v>
      </c>
      <c r="D16" s="107">
        <v>0.19</v>
      </c>
      <c r="E16" s="105" t="s">
        <v>24</v>
      </c>
      <c r="F16" s="105" t="s">
        <v>1099</v>
      </c>
      <c r="G16" s="105"/>
      <c r="H16" s="105" t="s">
        <v>64</v>
      </c>
      <c r="I16" s="105" t="s">
        <v>136</v>
      </c>
    </row>
    <row r="17" spans="1:11" s="108" customFormat="1">
      <c r="A17" s="105" t="s">
        <v>138</v>
      </c>
      <c r="B17" s="105" t="s">
        <v>55</v>
      </c>
      <c r="C17" s="106">
        <v>88</v>
      </c>
      <c r="D17" s="107">
        <v>0.2</v>
      </c>
      <c r="E17" s="105" t="s">
        <v>24</v>
      </c>
      <c r="F17" s="105" t="s">
        <v>1099</v>
      </c>
      <c r="G17" s="105"/>
      <c r="H17" s="105" t="s">
        <v>64</v>
      </c>
      <c r="I17" s="105" t="s">
        <v>136</v>
      </c>
    </row>
    <row r="18" spans="1:11" s="108" customFormat="1">
      <c r="A18" s="105" t="s">
        <v>1104</v>
      </c>
      <c r="B18" s="105" t="s">
        <v>55</v>
      </c>
      <c r="C18" s="106">
        <v>137.55000000000001</v>
      </c>
      <c r="D18" s="107"/>
      <c r="E18" s="105" t="s">
        <v>24</v>
      </c>
      <c r="F18" s="105" t="s">
        <v>1105</v>
      </c>
      <c r="G18" s="105"/>
      <c r="H18" s="105" t="s">
        <v>64</v>
      </c>
      <c r="I18" s="105" t="s">
        <v>136</v>
      </c>
    </row>
    <row r="19" spans="1:11" s="108" customFormat="1">
      <c r="A19" s="105" t="s">
        <v>96</v>
      </c>
      <c r="B19" s="105" t="s">
        <v>55</v>
      </c>
      <c r="C19" s="106">
        <v>155</v>
      </c>
      <c r="D19" s="107">
        <v>0.2</v>
      </c>
      <c r="E19" s="105" t="s">
        <v>24</v>
      </c>
      <c r="F19" s="105" t="s">
        <v>1099</v>
      </c>
      <c r="G19" s="105"/>
      <c r="H19" s="105" t="s">
        <v>64</v>
      </c>
      <c r="I19" s="105" t="s">
        <v>136</v>
      </c>
    </row>
    <row r="20" spans="1:11" s="108" customFormat="1">
      <c r="A20" s="105" t="s">
        <v>97</v>
      </c>
      <c r="B20" s="105" t="s">
        <v>44</v>
      </c>
      <c r="C20" s="106">
        <f>C19*2.5</f>
        <v>387.5</v>
      </c>
      <c r="D20" s="107">
        <v>0.2</v>
      </c>
      <c r="E20" s="105" t="s">
        <v>24</v>
      </c>
      <c r="F20" s="105" t="s">
        <v>1099</v>
      </c>
      <c r="G20" s="105"/>
      <c r="H20" s="105" t="s">
        <v>64</v>
      </c>
      <c r="I20" s="105" t="s">
        <v>136</v>
      </c>
      <c r="K20" s="110"/>
    </row>
    <row r="21" spans="1:11" s="108" customFormat="1">
      <c r="A21" s="105" t="s">
        <v>1106</v>
      </c>
      <c r="B21" s="105" t="s">
        <v>44</v>
      </c>
      <c r="C21" s="106">
        <v>115</v>
      </c>
      <c r="D21" s="107"/>
      <c r="E21" s="105" t="s">
        <v>24</v>
      </c>
      <c r="F21" s="105" t="s">
        <v>1107</v>
      </c>
      <c r="G21" s="105"/>
      <c r="H21" s="105" t="s">
        <v>64</v>
      </c>
      <c r="I21" s="105" t="s">
        <v>136</v>
      </c>
      <c r="K21" s="110"/>
    </row>
    <row r="22" spans="1:11" s="108" customFormat="1">
      <c r="A22" s="105" t="s">
        <v>1108</v>
      </c>
      <c r="B22" s="105" t="s">
        <v>44</v>
      </c>
      <c r="C22" s="106">
        <v>148</v>
      </c>
      <c r="D22" s="107"/>
      <c r="E22" s="105" t="s">
        <v>24</v>
      </c>
      <c r="F22" s="105" t="s">
        <v>1107</v>
      </c>
      <c r="G22" s="105"/>
      <c r="H22" s="105" t="s">
        <v>64</v>
      </c>
      <c r="I22" s="105" t="s">
        <v>136</v>
      </c>
      <c r="K22" s="110"/>
    </row>
    <row r="23" spans="1:11" s="108" customFormat="1">
      <c r="A23" s="105" t="s">
        <v>1109</v>
      </c>
      <c r="B23" s="105" t="s">
        <v>44</v>
      </c>
      <c r="C23" s="106">
        <v>267</v>
      </c>
      <c r="D23" s="107"/>
      <c r="E23" s="105" t="s">
        <v>24</v>
      </c>
      <c r="F23" s="105" t="s">
        <v>1107</v>
      </c>
      <c r="G23" s="105"/>
      <c r="H23" s="105" t="s">
        <v>64</v>
      </c>
      <c r="I23" s="105" t="s">
        <v>136</v>
      </c>
      <c r="K23" s="110"/>
    </row>
    <row r="24" spans="1:11" s="108" customFormat="1">
      <c r="A24" s="105" t="s">
        <v>1110</v>
      </c>
      <c r="B24" s="105" t="s">
        <v>44</v>
      </c>
      <c r="C24" s="106">
        <v>289</v>
      </c>
      <c r="D24" s="107"/>
      <c r="E24" s="105" t="s">
        <v>24</v>
      </c>
      <c r="F24" s="105" t="s">
        <v>1107</v>
      </c>
      <c r="G24" s="105"/>
      <c r="H24" s="105" t="s">
        <v>64</v>
      </c>
      <c r="I24" s="105" t="s">
        <v>136</v>
      </c>
      <c r="K24" s="110"/>
    </row>
    <row r="25" spans="1:11" s="108" customFormat="1">
      <c r="A25" s="105" t="s">
        <v>1111</v>
      </c>
      <c r="B25" s="105" t="s">
        <v>44</v>
      </c>
      <c r="C25" s="106">
        <v>333</v>
      </c>
      <c r="D25" s="107"/>
      <c r="E25" s="105" t="s">
        <v>24</v>
      </c>
      <c r="F25" s="105" t="s">
        <v>1107</v>
      </c>
      <c r="G25" s="105"/>
      <c r="H25" s="105" t="s">
        <v>64</v>
      </c>
      <c r="I25" s="105" t="s">
        <v>136</v>
      </c>
      <c r="K25" s="110"/>
    </row>
    <row r="26" spans="1:11" s="108" customFormat="1" ht="15.6">
      <c r="A26" s="105" t="s">
        <v>1112</v>
      </c>
      <c r="B26" s="105" t="s">
        <v>59</v>
      </c>
      <c r="C26" s="106">
        <v>8.5299999999999994</v>
      </c>
      <c r="D26" s="109"/>
      <c r="E26" s="105" t="s">
        <v>24</v>
      </c>
      <c r="F26" s="111" t="s">
        <v>144</v>
      </c>
      <c r="G26" s="105" t="s">
        <v>1113</v>
      </c>
      <c r="H26" s="105" t="s">
        <v>64</v>
      </c>
      <c r="I26" s="105" t="s">
        <v>136</v>
      </c>
    </row>
    <row r="27" spans="1:11" s="108" customFormat="1" ht="15.6">
      <c r="A27" s="105" t="s">
        <v>1114</v>
      </c>
      <c r="B27" s="105" t="s">
        <v>74</v>
      </c>
      <c r="C27" s="106">
        <f>8.53/173</f>
        <v>4.9306358381502886E-2</v>
      </c>
      <c r="D27" s="109"/>
      <c r="E27" s="105" t="s">
        <v>24</v>
      </c>
      <c r="F27" s="111" t="s">
        <v>144</v>
      </c>
      <c r="G27" s="105"/>
      <c r="H27" s="105" t="s">
        <v>64</v>
      </c>
      <c r="I27" s="105" t="s">
        <v>136</v>
      </c>
    </row>
    <row r="28" spans="1:11" s="108" customFormat="1" ht="15.6">
      <c r="A28" s="105" t="s">
        <v>1115</v>
      </c>
      <c r="B28" s="105" t="s">
        <v>59</v>
      </c>
      <c r="C28" s="106">
        <v>9.07</v>
      </c>
      <c r="D28" s="109"/>
      <c r="E28" s="105" t="s">
        <v>24</v>
      </c>
      <c r="F28" s="111" t="s">
        <v>144</v>
      </c>
      <c r="G28" s="105" t="s">
        <v>1116</v>
      </c>
      <c r="H28" s="105" t="s">
        <v>64</v>
      </c>
      <c r="I28" s="105" t="s">
        <v>136</v>
      </c>
    </row>
    <row r="29" spans="1:11" s="108" customFormat="1" ht="15.6">
      <c r="A29" s="105" t="s">
        <v>1117</v>
      </c>
      <c r="B29" s="105" t="s">
        <v>74</v>
      </c>
      <c r="C29" s="106">
        <f>9.07/179.1</f>
        <v>5.0642099385817985E-2</v>
      </c>
      <c r="D29" s="109"/>
      <c r="E29" s="105" t="s">
        <v>24</v>
      </c>
      <c r="F29" s="111" t="s">
        <v>144</v>
      </c>
      <c r="G29" s="105"/>
      <c r="H29" s="105" t="s">
        <v>64</v>
      </c>
      <c r="I29" s="105" t="s">
        <v>136</v>
      </c>
    </row>
    <row r="30" spans="1:11" s="108" customFormat="1" ht="15.6">
      <c r="A30" s="105" t="s">
        <v>1118</v>
      </c>
      <c r="B30" s="105" t="s">
        <v>59</v>
      </c>
      <c r="C30" s="106">
        <v>9.48</v>
      </c>
      <c r="D30" s="109"/>
      <c r="E30" s="105" t="s">
        <v>24</v>
      </c>
      <c r="F30" s="111" t="s">
        <v>144</v>
      </c>
      <c r="G30" s="105" t="s">
        <v>1119</v>
      </c>
      <c r="H30" s="105" t="s">
        <v>64</v>
      </c>
      <c r="I30" s="105" t="s">
        <v>136</v>
      </c>
    </row>
    <row r="31" spans="1:11" s="108" customFormat="1" ht="15.6">
      <c r="A31" s="105" t="s">
        <v>1120</v>
      </c>
      <c r="B31" s="105" t="s">
        <v>59</v>
      </c>
      <c r="C31" s="106">
        <v>9.48</v>
      </c>
      <c r="D31" s="109"/>
      <c r="E31" s="105" t="s">
        <v>24</v>
      </c>
      <c r="F31" s="111" t="s">
        <v>144</v>
      </c>
      <c r="G31" s="105" t="s">
        <v>1121</v>
      </c>
      <c r="H31" s="105" t="s">
        <v>64</v>
      </c>
      <c r="I31" s="105" t="s">
        <v>136</v>
      </c>
    </row>
    <row r="32" spans="1:11" s="108" customFormat="1" ht="15.6">
      <c r="A32" s="105" t="s">
        <v>1122</v>
      </c>
      <c r="B32" s="105" t="s">
        <v>59</v>
      </c>
      <c r="C32" s="106">
        <v>32.200000000000003</v>
      </c>
      <c r="D32" s="109"/>
      <c r="E32" s="105" t="s">
        <v>24</v>
      </c>
      <c r="F32" s="111" t="s">
        <v>144</v>
      </c>
      <c r="G32" s="105" t="s">
        <v>1123</v>
      </c>
      <c r="H32" s="105" t="s">
        <v>64</v>
      </c>
      <c r="I32" s="105" t="s">
        <v>136</v>
      </c>
    </row>
    <row r="33" spans="1:9" s="108" customFormat="1" ht="15.6">
      <c r="A33" s="105" t="s">
        <v>1124</v>
      </c>
      <c r="B33" s="105" t="s">
        <v>74</v>
      </c>
      <c r="C33" s="106">
        <f>C32/180</f>
        <v>0.1788888888888889</v>
      </c>
      <c r="D33" s="109"/>
      <c r="E33" s="105" t="s">
        <v>24</v>
      </c>
      <c r="F33" s="111" t="s">
        <v>144</v>
      </c>
      <c r="G33" s="105" t="s">
        <v>1125</v>
      </c>
      <c r="H33" s="105" t="s">
        <v>64</v>
      </c>
      <c r="I33" s="105" t="s">
        <v>136</v>
      </c>
    </row>
    <row r="34" spans="1:9" s="108" customFormat="1" ht="15.6">
      <c r="A34" s="105" t="s">
        <v>1126</v>
      </c>
      <c r="B34" s="105" t="s">
        <v>78</v>
      </c>
      <c r="C34" s="106">
        <v>23.562999999999999</v>
      </c>
      <c r="D34" s="109"/>
      <c r="E34" s="105" t="s">
        <v>24</v>
      </c>
      <c r="F34" s="105" t="s">
        <v>1105</v>
      </c>
      <c r="G34" s="105"/>
      <c r="H34" s="105" t="s">
        <v>64</v>
      </c>
      <c r="I34" s="105" t="s">
        <v>136</v>
      </c>
    </row>
    <row r="35" spans="1:9" s="108" customFormat="1" ht="15.6">
      <c r="A35" s="105" t="s">
        <v>1127</v>
      </c>
      <c r="B35" s="105" t="s">
        <v>78</v>
      </c>
      <c r="C35" s="106">
        <f>0.254*0.1309091*1000</f>
        <v>33.2509114</v>
      </c>
      <c r="D35" s="109"/>
      <c r="E35" s="105" t="s">
        <v>24</v>
      </c>
      <c r="F35" s="105" t="s">
        <v>1105</v>
      </c>
      <c r="G35" s="105"/>
      <c r="H35" s="105" t="s">
        <v>64</v>
      </c>
      <c r="I35" s="105" t="s">
        <v>136</v>
      </c>
    </row>
    <row r="36" spans="1:9" s="108" customFormat="1" ht="15.6">
      <c r="A36" s="105" t="s">
        <v>1128</v>
      </c>
      <c r="B36" s="105" t="s">
        <v>78</v>
      </c>
      <c r="C36" s="106">
        <f>0.36*0.1309091*1000</f>
        <v>47.127275999999995</v>
      </c>
      <c r="D36" s="109"/>
      <c r="E36" s="105" t="s">
        <v>24</v>
      </c>
      <c r="F36" s="105" t="s">
        <v>1105</v>
      </c>
      <c r="G36" s="105"/>
      <c r="H36" s="105" t="s">
        <v>64</v>
      </c>
      <c r="I36" s="105" t="s">
        <v>136</v>
      </c>
    </row>
    <row r="37" spans="1:9" s="108" customFormat="1" ht="15.6">
      <c r="A37" s="105" t="s">
        <v>1129</v>
      </c>
      <c r="B37" s="105" t="s">
        <v>78</v>
      </c>
      <c r="C37" s="106">
        <f>0.447*0.1309091*1000</f>
        <v>58.516367700000004</v>
      </c>
      <c r="D37" s="109"/>
      <c r="E37" s="105" t="s">
        <v>24</v>
      </c>
      <c r="F37" s="105" t="s">
        <v>1105</v>
      </c>
      <c r="G37" s="105"/>
      <c r="H37" s="105" t="s">
        <v>64</v>
      </c>
      <c r="I37" s="105" t="s">
        <v>136</v>
      </c>
    </row>
    <row r="38" spans="1:9" s="108" customFormat="1" ht="15.6">
      <c r="A38" s="105" t="s">
        <v>1130</v>
      </c>
      <c r="B38" s="105" t="s">
        <v>78</v>
      </c>
      <c r="C38" s="106">
        <f>0.704*0.1309091*1000</f>
        <v>92.1600064</v>
      </c>
      <c r="D38" s="109"/>
      <c r="E38" s="105" t="s">
        <v>24</v>
      </c>
      <c r="F38" s="105" t="s">
        <v>1105</v>
      </c>
      <c r="G38" s="105"/>
      <c r="H38" s="105" t="s">
        <v>64</v>
      </c>
      <c r="I38" s="105" t="s">
        <v>136</v>
      </c>
    </row>
    <row r="39" spans="1:9" s="108" customFormat="1" ht="15.6">
      <c r="A39" s="105" t="s">
        <v>1131</v>
      </c>
      <c r="B39" s="105" t="s">
        <v>78</v>
      </c>
      <c r="C39" s="106">
        <f>1.08*0.1309091*1000</f>
        <v>141.38182800000001</v>
      </c>
      <c r="D39" s="109"/>
      <c r="E39" s="105" t="s">
        <v>24</v>
      </c>
      <c r="F39" s="105" t="s">
        <v>1105</v>
      </c>
      <c r="G39" s="105"/>
      <c r="H39" s="105" t="s">
        <v>64</v>
      </c>
      <c r="I39" s="105" t="s">
        <v>136</v>
      </c>
    </row>
    <row r="40" spans="1:9" s="108" customFormat="1" ht="15.6">
      <c r="A40" s="105" t="s">
        <v>1132</v>
      </c>
      <c r="B40" s="105" t="s">
        <v>55</v>
      </c>
      <c r="C40" s="106">
        <v>765</v>
      </c>
      <c r="D40" s="109"/>
      <c r="E40" s="105" t="s">
        <v>24</v>
      </c>
      <c r="F40" s="105" t="s">
        <v>1105</v>
      </c>
      <c r="G40" s="105"/>
      <c r="H40" s="105" t="s">
        <v>64</v>
      </c>
      <c r="I40" s="105" t="s">
        <v>136</v>
      </c>
    </row>
    <row r="41" spans="1:9" s="108" customFormat="1" ht="15.6">
      <c r="A41" s="105" t="s">
        <v>1133</v>
      </c>
      <c r="B41" s="105" t="s">
        <v>55</v>
      </c>
      <c r="C41" s="106">
        <v>912</v>
      </c>
      <c r="D41" s="109"/>
      <c r="E41" s="105" t="s">
        <v>24</v>
      </c>
      <c r="F41" s="105" t="s">
        <v>1134</v>
      </c>
      <c r="G41" s="105" t="s">
        <v>1135</v>
      </c>
      <c r="H41" s="105" t="s">
        <v>64</v>
      </c>
      <c r="I41" s="105" t="s">
        <v>136</v>
      </c>
    </row>
    <row r="42" spans="1:9" s="108" customFormat="1" ht="15.6">
      <c r="A42" s="105" t="s">
        <v>1136</v>
      </c>
      <c r="B42" s="105" t="s">
        <v>55</v>
      </c>
      <c r="C42" s="106">
        <v>628</v>
      </c>
      <c r="D42" s="109"/>
      <c r="E42" s="105" t="s">
        <v>24</v>
      </c>
      <c r="F42" s="105" t="s">
        <v>1105</v>
      </c>
      <c r="G42" s="105"/>
      <c r="H42" s="105" t="s">
        <v>64</v>
      </c>
      <c r="I42" s="105" t="s">
        <v>136</v>
      </c>
    </row>
    <row r="43" spans="1:9" s="108" customFormat="1" ht="15.6">
      <c r="A43" s="105" t="s">
        <v>1137</v>
      </c>
      <c r="B43" s="105" t="s">
        <v>55</v>
      </c>
      <c r="C43" s="106">
        <v>676</v>
      </c>
      <c r="D43" s="109"/>
      <c r="E43" s="105" t="s">
        <v>24</v>
      </c>
      <c r="F43" s="105" t="s">
        <v>1138</v>
      </c>
      <c r="G43" s="105"/>
      <c r="H43" s="105" t="s">
        <v>64</v>
      </c>
      <c r="I43" s="105" t="s">
        <v>136</v>
      </c>
    </row>
    <row r="44" spans="1:9" s="108" customFormat="1" ht="15.6">
      <c r="A44" s="105" t="s">
        <v>1139</v>
      </c>
      <c r="B44" s="105" t="s">
        <v>55</v>
      </c>
      <c r="C44" s="106">
        <v>579</v>
      </c>
      <c r="D44" s="109"/>
      <c r="E44" s="105" t="s">
        <v>24</v>
      </c>
      <c r="F44" s="105" t="s">
        <v>1138</v>
      </c>
      <c r="G44" s="105"/>
      <c r="H44" s="105" t="s">
        <v>64</v>
      </c>
      <c r="I44" s="105" t="s">
        <v>136</v>
      </c>
    </row>
    <row r="45" spans="1:9" s="108" customFormat="1" ht="15.6">
      <c r="A45" s="105" t="s">
        <v>1140</v>
      </c>
      <c r="B45" s="105" t="s">
        <v>55</v>
      </c>
      <c r="C45" s="106">
        <v>774</v>
      </c>
      <c r="D45" s="109"/>
      <c r="E45" s="105" t="s">
        <v>24</v>
      </c>
      <c r="F45" s="105" t="s">
        <v>1134</v>
      </c>
      <c r="G45" s="105" t="s">
        <v>1135</v>
      </c>
      <c r="H45" s="105" t="s">
        <v>64</v>
      </c>
      <c r="I45" s="105" t="s">
        <v>136</v>
      </c>
    </row>
    <row r="46" spans="1:9" s="108" customFormat="1" ht="15.6">
      <c r="A46" s="105" t="s">
        <v>1141</v>
      </c>
      <c r="B46" s="105" t="s">
        <v>55</v>
      </c>
      <c r="C46" s="106">
        <v>585</v>
      </c>
      <c r="D46" s="109"/>
      <c r="E46" s="105" t="s">
        <v>24</v>
      </c>
      <c r="F46" s="105" t="s">
        <v>1138</v>
      </c>
      <c r="G46" s="105" t="s">
        <v>1142</v>
      </c>
      <c r="H46" s="105" t="s">
        <v>64</v>
      </c>
      <c r="I46" s="105" t="s">
        <v>136</v>
      </c>
    </row>
    <row r="47" spans="1:9" s="108" customFormat="1" ht="15.6">
      <c r="A47" s="105" t="s">
        <v>1143</v>
      </c>
      <c r="B47" s="105" t="s">
        <v>55</v>
      </c>
      <c r="C47" s="106">
        <v>798</v>
      </c>
      <c r="D47" s="109"/>
      <c r="E47" s="105" t="s">
        <v>24</v>
      </c>
      <c r="F47" s="105" t="s">
        <v>1134</v>
      </c>
      <c r="G47" s="105" t="s">
        <v>1144</v>
      </c>
      <c r="H47" s="105" t="s">
        <v>64</v>
      </c>
      <c r="I47" s="105" t="s">
        <v>136</v>
      </c>
    </row>
    <row r="48" spans="1:9" s="108" customFormat="1" ht="15.6">
      <c r="A48" s="105" t="s">
        <v>1145</v>
      </c>
      <c r="B48" s="105" t="s">
        <v>55</v>
      </c>
      <c r="C48" s="106">
        <v>661</v>
      </c>
      <c r="D48" s="109"/>
      <c r="E48" s="105" t="s">
        <v>24</v>
      </c>
      <c r="F48" s="105" t="s">
        <v>1134</v>
      </c>
      <c r="G48" s="105" t="s">
        <v>1146</v>
      </c>
      <c r="H48" s="105" t="s">
        <v>64</v>
      </c>
      <c r="I48" s="105" t="s">
        <v>136</v>
      </c>
    </row>
    <row r="49" spans="1:9" s="108" customFormat="1" ht="15.6">
      <c r="A49" s="105" t="s">
        <v>1147</v>
      </c>
      <c r="B49" s="105" t="s">
        <v>55</v>
      </c>
      <c r="C49" s="106">
        <v>671</v>
      </c>
      <c r="D49" s="109"/>
      <c r="E49" s="105" t="s">
        <v>24</v>
      </c>
      <c r="F49" s="105" t="s">
        <v>1138</v>
      </c>
      <c r="G49" s="105"/>
      <c r="H49" s="105" t="s">
        <v>64</v>
      </c>
      <c r="I49" s="105" t="s">
        <v>136</v>
      </c>
    </row>
    <row r="50" spans="1:9" s="108" customFormat="1" ht="15.6">
      <c r="A50" s="105" t="s">
        <v>1148</v>
      </c>
      <c r="B50" s="105" t="s">
        <v>55</v>
      </c>
      <c r="C50" s="106">
        <v>672</v>
      </c>
      <c r="D50" s="109"/>
      <c r="E50" s="105" t="s">
        <v>24</v>
      </c>
      <c r="F50" s="105" t="s">
        <v>1134</v>
      </c>
      <c r="G50" s="105" t="s">
        <v>1142</v>
      </c>
      <c r="H50" s="105" t="s">
        <v>64</v>
      </c>
      <c r="I50" s="105" t="s">
        <v>136</v>
      </c>
    </row>
    <row r="51" spans="1:9" s="108" customFormat="1" ht="15.6">
      <c r="A51" s="105" t="s">
        <v>1149</v>
      </c>
      <c r="B51" s="105" t="s">
        <v>55</v>
      </c>
      <c r="C51" s="106">
        <v>798</v>
      </c>
      <c r="D51" s="109"/>
      <c r="E51" s="105" t="s">
        <v>24</v>
      </c>
      <c r="F51" s="105" t="s">
        <v>1134</v>
      </c>
      <c r="G51" s="105" t="s">
        <v>1135</v>
      </c>
      <c r="H51" s="105" t="s">
        <v>64</v>
      </c>
      <c r="I51" s="105" t="s">
        <v>136</v>
      </c>
    </row>
    <row r="52" spans="1:9" s="108" customFormat="1" ht="15.6">
      <c r="A52" s="105" t="s">
        <v>1150</v>
      </c>
      <c r="B52" s="105" t="s">
        <v>55</v>
      </c>
      <c r="C52" s="106">
        <v>661</v>
      </c>
      <c r="D52" s="109"/>
      <c r="E52" s="105" t="s">
        <v>24</v>
      </c>
      <c r="F52" s="105" t="s">
        <v>1134</v>
      </c>
      <c r="G52" s="105" t="s">
        <v>1142</v>
      </c>
      <c r="H52" s="105" t="s">
        <v>64</v>
      </c>
      <c r="I52" s="105" t="s">
        <v>136</v>
      </c>
    </row>
    <row r="53" spans="1:9" s="108" customFormat="1" ht="15.6">
      <c r="A53" s="105" t="s">
        <v>1151</v>
      </c>
      <c r="B53" s="105" t="s">
        <v>55</v>
      </c>
      <c r="C53" s="106">
        <v>798</v>
      </c>
      <c r="D53" s="109"/>
      <c r="E53" s="105" t="s">
        <v>24</v>
      </c>
      <c r="F53" s="105" t="s">
        <v>1134</v>
      </c>
      <c r="G53" s="105" t="s">
        <v>1135</v>
      </c>
      <c r="H53" s="105" t="s">
        <v>64</v>
      </c>
      <c r="I53" s="105" t="s">
        <v>136</v>
      </c>
    </row>
    <row r="54" spans="1:9" s="108" customFormat="1" ht="15.6">
      <c r="A54" s="105" t="s">
        <v>1152</v>
      </c>
      <c r="B54" s="105" t="s">
        <v>55</v>
      </c>
      <c r="C54" s="106">
        <v>661</v>
      </c>
      <c r="D54" s="109"/>
      <c r="E54" s="105" t="s">
        <v>24</v>
      </c>
      <c r="F54" s="105" t="s">
        <v>1134</v>
      </c>
      <c r="G54" s="105" t="s">
        <v>1142</v>
      </c>
      <c r="H54" s="105" t="s">
        <v>64</v>
      </c>
      <c r="I54" s="105" t="s">
        <v>136</v>
      </c>
    </row>
    <row r="55" spans="1:9" s="108" customFormat="1" ht="15.6">
      <c r="A55" s="105" t="s">
        <v>1153</v>
      </c>
      <c r="B55" s="105" t="s">
        <v>55</v>
      </c>
      <c r="C55" s="106">
        <v>337</v>
      </c>
      <c r="D55" s="109"/>
      <c r="E55" s="105" t="s">
        <v>24</v>
      </c>
      <c r="F55" s="105" t="s">
        <v>1105</v>
      </c>
      <c r="G55" s="105"/>
      <c r="H55" s="105" t="s">
        <v>64</v>
      </c>
      <c r="I55" s="105" t="s">
        <v>136</v>
      </c>
    </row>
    <row r="56" spans="1:9" s="108" customFormat="1" ht="15.6">
      <c r="A56" s="105" t="s">
        <v>1154</v>
      </c>
      <c r="B56" s="105" t="s">
        <v>55</v>
      </c>
      <c r="C56" s="106">
        <v>400</v>
      </c>
      <c r="D56" s="109"/>
      <c r="E56" s="105" t="s">
        <v>24</v>
      </c>
      <c r="F56" s="105" t="s">
        <v>1138</v>
      </c>
      <c r="G56" s="105"/>
      <c r="H56" s="105" t="s">
        <v>64</v>
      </c>
      <c r="I56" s="105" t="s">
        <v>136</v>
      </c>
    </row>
    <row r="57" spans="1:9" s="108" customFormat="1" ht="15.6">
      <c r="A57" s="105" t="s">
        <v>1155</v>
      </c>
      <c r="B57" s="105" t="s">
        <v>55</v>
      </c>
      <c r="C57" s="106">
        <v>274</v>
      </c>
      <c r="D57" s="109"/>
      <c r="E57" s="105" t="s">
        <v>24</v>
      </c>
      <c r="F57" s="105" t="s">
        <v>1138</v>
      </c>
      <c r="G57" s="105"/>
      <c r="H57" s="105" t="s">
        <v>64</v>
      </c>
      <c r="I57" s="105" t="s">
        <v>136</v>
      </c>
    </row>
    <row r="58" spans="1:9" s="108" customFormat="1" ht="15.6">
      <c r="A58" s="105" t="s">
        <v>1156</v>
      </c>
      <c r="B58" s="105" t="s">
        <v>55</v>
      </c>
      <c r="C58" s="106">
        <v>147</v>
      </c>
      <c r="D58" s="109"/>
      <c r="E58" s="105" t="s">
        <v>24</v>
      </c>
      <c r="F58" s="105" t="s">
        <v>1134</v>
      </c>
      <c r="G58" s="105" t="s">
        <v>1144</v>
      </c>
      <c r="H58" s="105" t="s">
        <v>64</v>
      </c>
      <c r="I58" s="105" t="s">
        <v>136</v>
      </c>
    </row>
    <row r="59" spans="1:9" s="108" customFormat="1" ht="15.6">
      <c r="A59" s="105" t="s">
        <v>1157</v>
      </c>
      <c r="B59" s="105" t="s">
        <v>55</v>
      </c>
      <c r="C59" s="106">
        <v>707</v>
      </c>
      <c r="D59" s="109"/>
      <c r="E59" s="105" t="s">
        <v>24</v>
      </c>
      <c r="F59" s="105" t="s">
        <v>1134</v>
      </c>
      <c r="G59" s="105" t="s">
        <v>1135</v>
      </c>
      <c r="H59" s="105" t="s">
        <v>64</v>
      </c>
      <c r="I59" s="105" t="s">
        <v>136</v>
      </c>
    </row>
    <row r="60" spans="1:9" s="108" customFormat="1" ht="15.6">
      <c r="A60" s="105" t="s">
        <v>1158</v>
      </c>
      <c r="B60" s="105" t="s">
        <v>55</v>
      </c>
      <c r="C60" s="106">
        <v>501</v>
      </c>
      <c r="D60" s="109"/>
      <c r="E60" s="105" t="s">
        <v>24</v>
      </c>
      <c r="F60" s="105" t="s">
        <v>1134</v>
      </c>
      <c r="G60" s="105" t="s">
        <v>1142</v>
      </c>
      <c r="H60" s="105" t="s">
        <v>64</v>
      </c>
      <c r="I60" s="105" t="s">
        <v>136</v>
      </c>
    </row>
    <row r="61" spans="1:9" s="108" customFormat="1" ht="15.6">
      <c r="A61" s="105" t="s">
        <v>1159</v>
      </c>
      <c r="B61" s="105" t="s">
        <v>55</v>
      </c>
      <c r="C61" s="106">
        <v>468</v>
      </c>
      <c r="D61" s="109"/>
      <c r="E61" s="105" t="s">
        <v>24</v>
      </c>
      <c r="F61" s="105" t="s">
        <v>1105</v>
      </c>
      <c r="G61" s="105"/>
      <c r="H61" s="105" t="s">
        <v>64</v>
      </c>
      <c r="I61" s="105" t="s">
        <v>136</v>
      </c>
    </row>
    <row r="62" spans="1:9" s="108" customFormat="1" ht="15.6">
      <c r="A62" s="105" t="s">
        <v>1160</v>
      </c>
      <c r="B62" s="105" t="s">
        <v>55</v>
      </c>
      <c r="C62" s="106">
        <v>284</v>
      </c>
      <c r="D62" s="109"/>
      <c r="E62" s="105" t="s">
        <v>24</v>
      </c>
      <c r="F62" s="105" t="s">
        <v>1134</v>
      </c>
      <c r="G62" s="105" t="s">
        <v>1144</v>
      </c>
      <c r="H62" s="105" t="s">
        <v>64</v>
      </c>
      <c r="I62" s="105" t="s">
        <v>136</v>
      </c>
    </row>
    <row r="63" spans="1:9" s="108" customFormat="1">
      <c r="A63" s="105" t="s">
        <v>1161</v>
      </c>
      <c r="B63" s="105" t="s">
        <v>55</v>
      </c>
      <c r="C63" s="106">
        <v>866</v>
      </c>
      <c r="D63" s="107">
        <v>0.2</v>
      </c>
      <c r="E63" s="105" t="s">
        <v>24</v>
      </c>
      <c r="F63" s="105" t="s">
        <v>1099</v>
      </c>
      <c r="G63" s="105"/>
      <c r="H63" s="105" t="s">
        <v>64</v>
      </c>
      <c r="I63" s="105" t="s">
        <v>136</v>
      </c>
    </row>
    <row r="64" spans="1:9" ht="15.6">
      <c r="A64" s="17" t="s">
        <v>142</v>
      </c>
      <c r="B64" s="17" t="s">
        <v>74</v>
      </c>
      <c r="C64" s="58">
        <v>2.3130000000000002</v>
      </c>
      <c r="D64" s="59">
        <v>0.3</v>
      </c>
      <c r="E64" s="17" t="s">
        <v>24</v>
      </c>
      <c r="F64" s="17" t="s">
        <v>140</v>
      </c>
      <c r="G64" s="17"/>
      <c r="H64" s="17" t="s">
        <v>64</v>
      </c>
      <c r="I64" s="17" t="s">
        <v>136</v>
      </c>
    </row>
    <row r="65" spans="1:9" ht="15.6">
      <c r="A65" s="17" t="s">
        <v>143</v>
      </c>
      <c r="B65" s="17" t="s">
        <v>78</v>
      </c>
      <c r="C65" s="58">
        <v>28.061467499999999</v>
      </c>
      <c r="D65" s="59">
        <v>0.3</v>
      </c>
      <c r="E65" s="17" t="s">
        <v>24</v>
      </c>
      <c r="F65" s="17" t="s">
        <v>144</v>
      </c>
      <c r="G65" s="17" t="s">
        <v>145</v>
      </c>
      <c r="H65" s="17" t="s">
        <v>64</v>
      </c>
      <c r="I65" s="17" t="s">
        <v>136</v>
      </c>
    </row>
    <row r="66" spans="1:9" ht="15.6">
      <c r="A66" s="17" t="s">
        <v>146</v>
      </c>
      <c r="B66" s="17" t="s">
        <v>59</v>
      </c>
      <c r="C66" s="58">
        <v>101.72239000000002</v>
      </c>
      <c r="D66" s="59">
        <v>0.3</v>
      </c>
      <c r="E66" s="17" t="s">
        <v>24</v>
      </c>
      <c r="F66" s="17" t="s">
        <v>144</v>
      </c>
      <c r="G66" s="17" t="s">
        <v>147</v>
      </c>
      <c r="H66" s="17" t="s">
        <v>64</v>
      </c>
      <c r="I66" s="17" t="s">
        <v>136</v>
      </c>
    </row>
    <row r="67" spans="1:9" s="108" customFormat="1" ht="15.6">
      <c r="A67" s="105" t="s">
        <v>1162</v>
      </c>
      <c r="B67" s="105" t="s">
        <v>74</v>
      </c>
      <c r="C67" s="106">
        <v>0.17499999999999999</v>
      </c>
      <c r="D67" s="109"/>
      <c r="E67" s="105" t="s">
        <v>24</v>
      </c>
      <c r="F67" s="105" t="s">
        <v>1105</v>
      </c>
      <c r="G67" s="105"/>
      <c r="H67" s="105" t="s">
        <v>64</v>
      </c>
      <c r="I67" s="105" t="s">
        <v>136</v>
      </c>
    </row>
    <row r="68" spans="1:9" ht="15.6">
      <c r="A68" s="17" t="s">
        <v>148</v>
      </c>
      <c r="B68" s="17" t="s">
        <v>74</v>
      </c>
      <c r="C68" s="58">
        <v>1.099</v>
      </c>
      <c r="D68" s="59">
        <v>0.3</v>
      </c>
      <c r="E68" s="17" t="s">
        <v>24</v>
      </c>
      <c r="F68" s="17" t="s">
        <v>140</v>
      </c>
      <c r="G68" s="17"/>
      <c r="H68" s="17" t="s">
        <v>64</v>
      </c>
      <c r="I68" s="17" t="s">
        <v>136</v>
      </c>
    </row>
    <row r="69" spans="1:9" s="108" customFormat="1">
      <c r="A69" s="105" t="s">
        <v>129</v>
      </c>
      <c r="B69" s="105" t="s">
        <v>59</v>
      </c>
      <c r="C69" s="106">
        <v>11.1</v>
      </c>
      <c r="D69" s="107">
        <v>0.1</v>
      </c>
      <c r="E69" s="105" t="s">
        <v>24</v>
      </c>
      <c r="F69" s="105" t="s">
        <v>1099</v>
      </c>
      <c r="G69" s="105"/>
      <c r="H69" s="105" t="s">
        <v>64</v>
      </c>
      <c r="I69" s="105" t="s">
        <v>136</v>
      </c>
    </row>
    <row r="70" spans="1:9" ht="15.6">
      <c r="A70" s="17" t="s">
        <v>149</v>
      </c>
      <c r="B70" s="17" t="s">
        <v>59</v>
      </c>
      <c r="C70" s="58">
        <v>34.533290000000008</v>
      </c>
      <c r="D70" s="59">
        <v>0.3</v>
      </c>
      <c r="E70" s="17" t="s">
        <v>24</v>
      </c>
      <c r="F70" s="17" t="s">
        <v>144</v>
      </c>
      <c r="G70" s="17" t="s">
        <v>150</v>
      </c>
      <c r="H70" s="17" t="s">
        <v>64</v>
      </c>
      <c r="I70" s="17" t="s">
        <v>136</v>
      </c>
    </row>
    <row r="71" spans="1:9" s="108" customFormat="1" ht="15.6">
      <c r="A71" s="105" t="s">
        <v>1163</v>
      </c>
      <c r="B71" s="105" t="s">
        <v>59</v>
      </c>
      <c r="C71" s="106">
        <v>50.634999999999998</v>
      </c>
      <c r="D71" s="109"/>
      <c r="E71" s="105" t="s">
        <v>24</v>
      </c>
      <c r="F71" s="111" t="s">
        <v>144</v>
      </c>
      <c r="G71" s="105" t="s">
        <v>1164</v>
      </c>
      <c r="H71" s="105" t="s">
        <v>64</v>
      </c>
      <c r="I71" s="105" t="s">
        <v>136</v>
      </c>
    </row>
    <row r="72" spans="1:9" ht="15.6">
      <c r="A72" s="17" t="s">
        <v>151</v>
      </c>
      <c r="B72" s="17" t="s">
        <v>74</v>
      </c>
      <c r="C72" s="58">
        <v>0.12103999999999999</v>
      </c>
      <c r="D72" s="59">
        <v>0.3</v>
      </c>
      <c r="E72" s="17" t="s">
        <v>24</v>
      </c>
      <c r="F72" s="17" t="s">
        <v>140</v>
      </c>
      <c r="G72" s="17"/>
      <c r="H72" s="17" t="s">
        <v>64</v>
      </c>
      <c r="I72" s="17" t="s">
        <v>136</v>
      </c>
    </row>
    <row r="73" spans="1:9" ht="15.6">
      <c r="A73" s="17" t="s">
        <v>152</v>
      </c>
      <c r="B73" s="17" t="s">
        <v>74</v>
      </c>
      <c r="C73" s="58">
        <v>0.41082999999999997</v>
      </c>
      <c r="D73" s="59">
        <v>0.3</v>
      </c>
      <c r="E73" s="17" t="s">
        <v>24</v>
      </c>
      <c r="F73" s="17" t="s">
        <v>140</v>
      </c>
      <c r="G73" s="17"/>
      <c r="H73" s="17" t="s">
        <v>64</v>
      </c>
      <c r="I73" s="17" t="s">
        <v>136</v>
      </c>
    </row>
    <row r="74" spans="1:9" s="108" customFormat="1" ht="15.6">
      <c r="A74" s="105" t="s">
        <v>1165</v>
      </c>
      <c r="B74" s="105" t="s">
        <v>78</v>
      </c>
      <c r="C74" s="106">
        <v>32.799999999999997</v>
      </c>
      <c r="D74" s="109"/>
      <c r="E74" s="105" t="s">
        <v>24</v>
      </c>
      <c r="F74" s="112" t="s">
        <v>144</v>
      </c>
      <c r="G74" s="105" t="s">
        <v>1166</v>
      </c>
      <c r="H74" s="105" t="s">
        <v>64</v>
      </c>
      <c r="I74" s="105" t="s">
        <v>136</v>
      </c>
    </row>
    <row r="75" spans="1:9" s="108" customFormat="1" ht="15.6">
      <c r="A75" s="105" t="s">
        <v>1167</v>
      </c>
      <c r="B75" s="105" t="s">
        <v>78</v>
      </c>
      <c r="C75" s="106">
        <v>27.3</v>
      </c>
      <c r="D75" s="109"/>
      <c r="E75" s="105" t="s">
        <v>24</v>
      </c>
      <c r="F75" s="111" t="s">
        <v>144</v>
      </c>
      <c r="G75" s="105" t="s">
        <v>1168</v>
      </c>
      <c r="H75" s="105" t="s">
        <v>64</v>
      </c>
      <c r="I75" s="105" t="s">
        <v>136</v>
      </c>
    </row>
    <row r="76" spans="1:9" s="108" customFormat="1" ht="15.6">
      <c r="A76" s="105" t="s">
        <v>1169</v>
      </c>
      <c r="B76" s="105" t="s">
        <v>78</v>
      </c>
      <c r="C76" s="106">
        <v>2.98</v>
      </c>
      <c r="D76" s="109"/>
      <c r="E76" s="105" t="s">
        <v>24</v>
      </c>
      <c r="F76" s="111" t="s">
        <v>144</v>
      </c>
      <c r="G76" s="105" t="s">
        <v>1170</v>
      </c>
      <c r="H76" s="105" t="s">
        <v>64</v>
      </c>
      <c r="I76" s="105" t="s">
        <v>136</v>
      </c>
    </row>
    <row r="77" spans="1:9" s="108" customFormat="1" ht="15.6">
      <c r="A77" s="105" t="s">
        <v>1171</v>
      </c>
      <c r="B77" s="105" t="s">
        <v>78</v>
      </c>
      <c r="C77" s="106">
        <v>4.1100000000000003</v>
      </c>
      <c r="D77" s="109"/>
      <c r="E77" s="105" t="s">
        <v>24</v>
      </c>
      <c r="F77" s="111" t="s">
        <v>144</v>
      </c>
      <c r="G77" s="105" t="s">
        <v>1172</v>
      </c>
      <c r="H77" s="105" t="s">
        <v>64</v>
      </c>
      <c r="I77" s="105" t="s">
        <v>136</v>
      </c>
    </row>
    <row r="78" spans="1:9" s="108" customFormat="1" ht="15.6">
      <c r="A78" s="105" t="s">
        <v>1173</v>
      </c>
      <c r="B78" s="105" t="s">
        <v>59</v>
      </c>
      <c r="C78" s="106">
        <v>23.3</v>
      </c>
      <c r="D78" s="109"/>
      <c r="E78" s="105" t="s">
        <v>24</v>
      </c>
      <c r="F78" s="111" t="s">
        <v>144</v>
      </c>
      <c r="G78" s="105" t="s">
        <v>1174</v>
      </c>
      <c r="H78" s="105" t="s">
        <v>64</v>
      </c>
      <c r="I78" s="105" t="s">
        <v>136</v>
      </c>
    </row>
    <row r="79" spans="1:9" s="108" customFormat="1" ht="15.6">
      <c r="A79" s="105" t="s">
        <v>153</v>
      </c>
      <c r="B79" s="105" t="s">
        <v>59</v>
      </c>
      <c r="C79" s="106">
        <v>17.899999999999999</v>
      </c>
      <c r="D79" s="109"/>
      <c r="E79" s="105" t="s">
        <v>24</v>
      </c>
      <c r="F79" s="111" t="s">
        <v>144</v>
      </c>
      <c r="G79" s="105" t="s">
        <v>1175</v>
      </c>
      <c r="H79" s="105" t="s">
        <v>64</v>
      </c>
      <c r="I79" s="105" t="s">
        <v>136</v>
      </c>
    </row>
    <row r="80" spans="1:9">
      <c r="A80" s="17" t="s">
        <v>119</v>
      </c>
      <c r="B80" s="17" t="s">
        <v>55</v>
      </c>
      <c r="C80" s="58">
        <v>173.25</v>
      </c>
      <c r="D80" s="57">
        <v>0.2</v>
      </c>
      <c r="E80" s="17" t="s">
        <v>24</v>
      </c>
      <c r="F80" s="17" t="s">
        <v>135</v>
      </c>
      <c r="G80" s="17"/>
      <c r="H80" s="17" t="s">
        <v>64</v>
      </c>
      <c r="I80" s="17" t="s">
        <v>136</v>
      </c>
    </row>
    <row r="81" spans="1:9" s="108" customFormat="1" ht="15.6">
      <c r="A81" s="105" t="s">
        <v>1176</v>
      </c>
      <c r="B81" s="105" t="s">
        <v>59</v>
      </c>
      <c r="C81" s="106">
        <v>11.2</v>
      </c>
      <c r="D81" s="109"/>
      <c r="E81" s="105" t="s">
        <v>24</v>
      </c>
      <c r="F81" s="111" t="s">
        <v>144</v>
      </c>
      <c r="G81" s="105" t="s">
        <v>1177</v>
      </c>
      <c r="H81" s="105" t="s">
        <v>64</v>
      </c>
      <c r="I81" s="105" t="s">
        <v>136</v>
      </c>
    </row>
    <row r="82" spans="1:9" s="108" customFormat="1" ht="15.6">
      <c r="A82" s="105" t="s">
        <v>154</v>
      </c>
      <c r="B82" s="105" t="s">
        <v>74</v>
      </c>
      <c r="C82" s="106">
        <v>0.77015</v>
      </c>
      <c r="D82" s="109"/>
      <c r="E82" s="105" t="s">
        <v>24</v>
      </c>
      <c r="F82" s="105" t="s">
        <v>1178</v>
      </c>
      <c r="G82" s="105" t="s">
        <v>176</v>
      </c>
      <c r="H82" s="105" t="s">
        <v>64</v>
      </c>
      <c r="I82" s="105" t="s">
        <v>136</v>
      </c>
    </row>
    <row r="83" spans="1:9" ht="15.6">
      <c r="A83" s="17"/>
      <c r="B83" s="17"/>
      <c r="C83" s="17"/>
      <c r="D83" s="59"/>
      <c r="E83" s="17" t="s">
        <v>24</v>
      </c>
      <c r="F83" s="17"/>
      <c r="G83" s="17"/>
      <c r="H83" s="17"/>
      <c r="I83" s="17"/>
    </row>
    <row r="84" spans="1:9" ht="15.6">
      <c r="A84" s="17" t="s">
        <v>53</v>
      </c>
      <c r="B84" s="17"/>
      <c r="C84" s="17"/>
      <c r="D84" s="59"/>
      <c r="E84" s="17" t="s">
        <v>24</v>
      </c>
      <c r="F84" s="17"/>
      <c r="G84" s="17"/>
      <c r="H84" s="17"/>
      <c r="I84" s="17"/>
    </row>
    <row r="85" spans="1:9" ht="15.6">
      <c r="A85" s="17" t="s">
        <v>155</v>
      </c>
      <c r="B85" s="17" t="s">
        <v>74</v>
      </c>
      <c r="C85" s="58">
        <v>7.3333333333333332E-3</v>
      </c>
      <c r="D85" s="59">
        <v>0.3</v>
      </c>
      <c r="E85" s="17" t="s">
        <v>24</v>
      </c>
      <c r="F85" s="17" t="s">
        <v>141</v>
      </c>
      <c r="G85" s="17"/>
      <c r="H85" s="17" t="s">
        <v>64</v>
      </c>
      <c r="I85" s="17" t="s">
        <v>156</v>
      </c>
    </row>
    <row r="86" spans="1:9" ht="15.6">
      <c r="A86" s="17" t="s">
        <v>157</v>
      </c>
      <c r="B86" s="17" t="s">
        <v>55</v>
      </c>
      <c r="C86" s="58">
        <v>2.92</v>
      </c>
      <c r="D86" s="59">
        <v>0.3</v>
      </c>
      <c r="E86" s="17" t="s">
        <v>24</v>
      </c>
      <c r="F86" s="17" t="s">
        <v>158</v>
      </c>
      <c r="G86" s="17" t="s">
        <v>159</v>
      </c>
      <c r="H86" s="17" t="s">
        <v>64</v>
      </c>
      <c r="I86" s="17" t="s">
        <v>156</v>
      </c>
    </row>
    <row r="87" spans="1:9" ht="15.6">
      <c r="A87" s="17" t="s">
        <v>160</v>
      </c>
      <c r="B87" s="17" t="s">
        <v>55</v>
      </c>
      <c r="C87" s="58">
        <v>327</v>
      </c>
      <c r="D87" s="59">
        <v>0.3</v>
      </c>
      <c r="E87" s="17" t="s">
        <v>24</v>
      </c>
      <c r="F87" s="17" t="s">
        <v>158</v>
      </c>
      <c r="G87" s="17" t="s">
        <v>161</v>
      </c>
      <c r="H87" s="17" t="s">
        <v>64</v>
      </c>
      <c r="I87" s="17" t="s">
        <v>156</v>
      </c>
    </row>
    <row r="88" spans="1:9" ht="15.6">
      <c r="A88" s="17" t="s">
        <v>116</v>
      </c>
      <c r="B88" s="17" t="s">
        <v>55</v>
      </c>
      <c r="C88" s="58">
        <v>7.333333333333333</v>
      </c>
      <c r="D88" s="59">
        <v>0.3</v>
      </c>
      <c r="E88" s="17" t="s">
        <v>24</v>
      </c>
      <c r="F88" s="17" t="s">
        <v>141</v>
      </c>
      <c r="G88" s="17"/>
      <c r="H88" s="17" t="s">
        <v>64</v>
      </c>
      <c r="I88" s="17" t="s">
        <v>156</v>
      </c>
    </row>
    <row r="89" spans="1:9" s="108" customFormat="1" ht="15.6">
      <c r="A89" s="105" t="s">
        <v>57</v>
      </c>
      <c r="B89" s="105" t="s">
        <v>55</v>
      </c>
      <c r="C89" s="106">
        <v>1100</v>
      </c>
      <c r="D89" s="109">
        <v>0.5</v>
      </c>
      <c r="E89" s="105" t="s">
        <v>24</v>
      </c>
      <c r="F89" s="105" t="s">
        <v>1099</v>
      </c>
      <c r="G89" s="105"/>
      <c r="H89" s="105" t="s">
        <v>64</v>
      </c>
      <c r="I89" s="105" t="s">
        <v>156</v>
      </c>
    </row>
    <row r="90" spans="1:9" s="108" customFormat="1">
      <c r="A90" s="105" t="s">
        <v>54</v>
      </c>
      <c r="B90" s="105" t="s">
        <v>55</v>
      </c>
      <c r="C90" s="106">
        <v>1041</v>
      </c>
      <c r="D90" s="107">
        <v>0.2</v>
      </c>
      <c r="E90" s="105" t="s">
        <v>24</v>
      </c>
      <c r="F90" s="105" t="s">
        <v>1099</v>
      </c>
      <c r="G90" s="105"/>
      <c r="H90" s="105" t="s">
        <v>64</v>
      </c>
      <c r="I90" s="105" t="s">
        <v>156</v>
      </c>
    </row>
    <row r="91" spans="1:9">
      <c r="A91" s="17" t="s">
        <v>162</v>
      </c>
      <c r="B91" s="17" t="s">
        <v>55</v>
      </c>
      <c r="C91" s="58">
        <v>33</v>
      </c>
      <c r="D91" s="57">
        <v>0.5</v>
      </c>
      <c r="E91" s="17" t="s">
        <v>24</v>
      </c>
      <c r="F91" s="17" t="s">
        <v>139</v>
      </c>
      <c r="G91" s="17"/>
      <c r="H91" s="17" t="s">
        <v>64</v>
      </c>
      <c r="I91" s="17" t="s">
        <v>156</v>
      </c>
    </row>
    <row r="92" spans="1:9" s="108" customFormat="1" ht="15.6">
      <c r="A92" s="105" t="s">
        <v>163</v>
      </c>
      <c r="B92" s="105" t="s">
        <v>74</v>
      </c>
      <c r="C92" s="106">
        <v>0.85699999999999998</v>
      </c>
      <c r="D92" s="109"/>
      <c r="E92" s="105" t="s">
        <v>24</v>
      </c>
      <c r="F92" s="105" t="s">
        <v>1105</v>
      </c>
      <c r="G92" s="105"/>
      <c r="H92" s="105" t="s">
        <v>64</v>
      </c>
      <c r="I92" s="105" t="s">
        <v>156</v>
      </c>
    </row>
    <row r="93" spans="1:9" s="108" customFormat="1" ht="15.6">
      <c r="A93" s="105" t="s">
        <v>164</v>
      </c>
      <c r="B93" s="105" t="s">
        <v>74</v>
      </c>
      <c r="C93" s="106">
        <f>450/1000</f>
        <v>0.45</v>
      </c>
      <c r="D93" s="109">
        <v>0.2</v>
      </c>
      <c r="E93" s="105" t="s">
        <v>24</v>
      </c>
      <c r="F93" s="105" t="s">
        <v>1099</v>
      </c>
      <c r="G93" s="105"/>
      <c r="H93" s="105" t="s">
        <v>64</v>
      </c>
      <c r="I93" s="105" t="s">
        <v>156</v>
      </c>
    </row>
    <row r="94" spans="1:9" s="108" customFormat="1" ht="15.6">
      <c r="A94" s="105" t="s">
        <v>165</v>
      </c>
      <c r="B94" s="105" t="s">
        <v>74</v>
      </c>
      <c r="C94" s="106">
        <v>1.0960000000000001</v>
      </c>
      <c r="D94" s="109"/>
      <c r="E94" s="105" t="s">
        <v>24</v>
      </c>
      <c r="F94" s="105" t="s">
        <v>1105</v>
      </c>
      <c r="G94" s="105"/>
      <c r="H94" s="105" t="s">
        <v>64</v>
      </c>
      <c r="I94" s="105" t="s">
        <v>156</v>
      </c>
    </row>
    <row r="95" spans="1:9" s="108" customFormat="1" ht="15.6">
      <c r="A95" s="105" t="s">
        <v>1179</v>
      </c>
      <c r="B95" s="105" t="s">
        <v>55</v>
      </c>
      <c r="C95" s="106">
        <v>4</v>
      </c>
      <c r="D95" s="109">
        <v>0.5</v>
      </c>
      <c r="E95" s="105" t="s">
        <v>24</v>
      </c>
      <c r="F95" s="105" t="s">
        <v>1099</v>
      </c>
      <c r="G95" s="105"/>
      <c r="H95" s="105" t="s">
        <v>64</v>
      </c>
      <c r="I95" s="105" t="s">
        <v>156</v>
      </c>
    </row>
    <row r="96" spans="1:9" s="108" customFormat="1" ht="15.6">
      <c r="A96" s="105" t="s">
        <v>1180</v>
      </c>
      <c r="B96" s="105" t="s">
        <v>55</v>
      </c>
      <c r="C96" s="106">
        <v>3</v>
      </c>
      <c r="D96" s="109">
        <v>0.5</v>
      </c>
      <c r="E96" s="105" t="s">
        <v>24</v>
      </c>
      <c r="F96" s="105" t="s">
        <v>1099</v>
      </c>
      <c r="G96" s="105"/>
      <c r="H96" s="105" t="s">
        <v>64</v>
      </c>
      <c r="I96" s="105" t="s">
        <v>156</v>
      </c>
    </row>
    <row r="97" spans="1:9" s="108" customFormat="1" ht="15.6">
      <c r="A97" s="105" t="s">
        <v>1181</v>
      </c>
      <c r="B97" s="105" t="s">
        <v>55</v>
      </c>
      <c r="C97" s="106">
        <f>0.00475*1000</f>
        <v>4.75</v>
      </c>
      <c r="D97" s="109"/>
      <c r="E97" s="105" t="s">
        <v>24</v>
      </c>
      <c r="F97" s="108" t="s">
        <v>1182</v>
      </c>
      <c r="G97" s="105" t="s">
        <v>1183</v>
      </c>
      <c r="H97" s="105" t="s">
        <v>64</v>
      </c>
      <c r="I97" s="105" t="s">
        <v>156</v>
      </c>
    </row>
    <row r="98" spans="1:9" ht="15.6">
      <c r="A98" s="17" t="s">
        <v>166</v>
      </c>
      <c r="B98" s="17" t="s">
        <v>74</v>
      </c>
      <c r="C98" s="58">
        <v>2.4004999999999999E-3</v>
      </c>
      <c r="D98" s="59">
        <v>0.3</v>
      </c>
      <c r="E98" s="17" t="s">
        <v>24</v>
      </c>
      <c r="F98" s="17" t="s">
        <v>140</v>
      </c>
      <c r="G98" s="17"/>
      <c r="H98" s="17" t="s">
        <v>64</v>
      </c>
      <c r="I98" s="17" t="s">
        <v>156</v>
      </c>
    </row>
    <row r="99" spans="1:9" s="108" customFormat="1">
      <c r="A99" s="105" t="s">
        <v>118</v>
      </c>
      <c r="B99" s="105" t="s">
        <v>55</v>
      </c>
      <c r="C99" s="106">
        <v>11</v>
      </c>
      <c r="D99" s="107">
        <v>0.8</v>
      </c>
      <c r="E99" s="105" t="s">
        <v>24</v>
      </c>
      <c r="F99" s="105" t="s">
        <v>1099</v>
      </c>
      <c r="G99" s="105" t="s">
        <v>168</v>
      </c>
      <c r="H99" s="105" t="s">
        <v>64</v>
      </c>
      <c r="I99" s="105" t="s">
        <v>156</v>
      </c>
    </row>
    <row r="100" spans="1:9" ht="15.6">
      <c r="A100" s="17" t="s">
        <v>169</v>
      </c>
      <c r="B100" s="17" t="s">
        <v>74</v>
      </c>
      <c r="C100" s="58">
        <v>0.35327999999999998</v>
      </c>
      <c r="D100" s="59">
        <v>0.3</v>
      </c>
      <c r="E100" s="17" t="s">
        <v>24</v>
      </c>
      <c r="F100" s="17" t="s">
        <v>140</v>
      </c>
      <c r="G100" s="17"/>
      <c r="H100" s="17" t="s">
        <v>64</v>
      </c>
      <c r="I100" s="17" t="s">
        <v>156</v>
      </c>
    </row>
    <row r="101" spans="1:9" s="108" customFormat="1" ht="15.6">
      <c r="A101" s="105" t="s">
        <v>170</v>
      </c>
      <c r="B101" s="105" t="s">
        <v>74</v>
      </c>
      <c r="C101" s="106">
        <v>0.32013000000000003</v>
      </c>
      <c r="D101" s="109"/>
      <c r="E101" s="105" t="s">
        <v>24</v>
      </c>
      <c r="F101" s="108" t="s">
        <v>1178</v>
      </c>
      <c r="G101" s="105" t="s">
        <v>1184</v>
      </c>
      <c r="H101" s="105" t="s">
        <v>64</v>
      </c>
      <c r="I101" s="105" t="s">
        <v>156</v>
      </c>
    </row>
    <row r="102" spans="1:9" ht="15.6">
      <c r="A102" s="17" t="s">
        <v>171</v>
      </c>
      <c r="B102" s="17" t="s">
        <v>74</v>
      </c>
      <c r="C102" s="58">
        <v>0.31241999999999998</v>
      </c>
      <c r="D102" s="59">
        <v>0.3</v>
      </c>
      <c r="E102" s="17" t="s">
        <v>24</v>
      </c>
      <c r="F102" s="17" t="s">
        <v>140</v>
      </c>
      <c r="G102" s="17"/>
      <c r="H102" s="17" t="s">
        <v>64</v>
      </c>
      <c r="I102" s="17" t="s">
        <v>156</v>
      </c>
    </row>
    <row r="103" spans="1:9" ht="15.6">
      <c r="A103" s="17" t="s">
        <v>172</v>
      </c>
      <c r="B103" s="17" t="s">
        <v>74</v>
      </c>
      <c r="C103" s="58">
        <v>0.379</v>
      </c>
      <c r="D103" s="59">
        <v>0.3</v>
      </c>
      <c r="E103" s="17" t="s">
        <v>24</v>
      </c>
      <c r="F103" s="17" t="s">
        <v>140</v>
      </c>
      <c r="G103" s="17"/>
      <c r="H103" s="17" t="s">
        <v>64</v>
      </c>
      <c r="I103" s="17" t="s">
        <v>156</v>
      </c>
    </row>
    <row r="104" spans="1:9" s="108" customFormat="1">
      <c r="A104" s="105" t="s">
        <v>1185</v>
      </c>
      <c r="B104" s="105" t="s">
        <v>55</v>
      </c>
      <c r="C104" s="106">
        <f>0.04082*1000</f>
        <v>40.82</v>
      </c>
      <c r="D104" s="107"/>
      <c r="E104" s="105" t="s">
        <v>24</v>
      </c>
      <c r="F104" s="108" t="s">
        <v>1178</v>
      </c>
      <c r="G104" s="105" t="s">
        <v>1186</v>
      </c>
      <c r="H104" s="105" t="s">
        <v>64</v>
      </c>
      <c r="I104" s="105" t="s">
        <v>156</v>
      </c>
    </row>
    <row r="105" spans="1:9">
      <c r="A105" s="17" t="s">
        <v>173</v>
      </c>
      <c r="B105" s="17" t="s">
        <v>55</v>
      </c>
      <c r="C105" s="58">
        <v>3.6666666666666665</v>
      </c>
      <c r="D105" s="57">
        <v>0.1</v>
      </c>
      <c r="E105" s="17" t="s">
        <v>24</v>
      </c>
      <c r="F105" s="17" t="s">
        <v>135</v>
      </c>
      <c r="G105" s="17"/>
      <c r="H105" s="17" t="s">
        <v>64</v>
      </c>
      <c r="I105" s="17" t="s">
        <v>156</v>
      </c>
    </row>
    <row r="106" spans="1:9" s="108" customFormat="1" ht="15.6">
      <c r="A106" s="105" t="s">
        <v>1187</v>
      </c>
      <c r="B106" s="105" t="s">
        <v>55</v>
      </c>
      <c r="C106" s="106">
        <v>1498.73</v>
      </c>
      <c r="D106" s="109"/>
      <c r="E106" s="105" t="s">
        <v>24</v>
      </c>
      <c r="F106" s="108" t="s">
        <v>1188</v>
      </c>
      <c r="G106" s="105" t="s">
        <v>176</v>
      </c>
      <c r="H106" s="105" t="s">
        <v>64</v>
      </c>
      <c r="I106" s="105" t="s">
        <v>156</v>
      </c>
    </row>
    <row r="107" spans="1:9" ht="15.6">
      <c r="A107" s="17" t="s">
        <v>174</v>
      </c>
      <c r="B107" s="17" t="s">
        <v>55</v>
      </c>
      <c r="C107" s="58">
        <v>2460</v>
      </c>
      <c r="D107" s="59">
        <v>0.3</v>
      </c>
      <c r="E107" s="17" t="s">
        <v>24</v>
      </c>
      <c r="F107" s="17" t="s">
        <v>158</v>
      </c>
      <c r="G107" s="17"/>
      <c r="H107" s="17" t="s">
        <v>64</v>
      </c>
      <c r="I107" s="17" t="s">
        <v>156</v>
      </c>
    </row>
    <row r="108" spans="1:9">
      <c r="A108" s="17"/>
      <c r="B108" s="17"/>
      <c r="C108" s="17"/>
      <c r="D108" s="57"/>
      <c r="E108" s="17" t="s">
        <v>24</v>
      </c>
      <c r="F108" s="17"/>
      <c r="G108" s="17"/>
      <c r="H108" s="17"/>
      <c r="I108" s="17"/>
    </row>
    <row r="109" spans="1:9">
      <c r="A109" s="17" t="s">
        <v>72</v>
      </c>
      <c r="B109" s="17"/>
      <c r="C109" s="17"/>
      <c r="D109" s="57"/>
      <c r="E109" s="17" t="s">
        <v>24</v>
      </c>
      <c r="F109" s="17"/>
      <c r="G109" s="17"/>
      <c r="H109" s="17"/>
      <c r="I109" s="17"/>
    </row>
    <row r="110" spans="1:9" s="108" customFormat="1" ht="15.6">
      <c r="A110" s="105" t="s">
        <v>1189</v>
      </c>
      <c r="B110" s="105" t="s">
        <v>55</v>
      </c>
      <c r="C110" s="106">
        <v>3879</v>
      </c>
      <c r="D110" s="109"/>
      <c r="E110" s="105" t="s">
        <v>24</v>
      </c>
      <c r="F110" s="108" t="s">
        <v>1190</v>
      </c>
      <c r="G110" s="105" t="s">
        <v>1191</v>
      </c>
      <c r="H110" s="105" t="s">
        <v>64</v>
      </c>
      <c r="I110" s="105" t="s">
        <v>175</v>
      </c>
    </row>
    <row r="111" spans="1:9" s="108" customFormat="1" ht="15.6">
      <c r="A111" s="105" t="s">
        <v>1192</v>
      </c>
      <c r="B111" s="105" t="s">
        <v>74</v>
      </c>
      <c r="C111" s="106">
        <v>0.60699999999999998</v>
      </c>
      <c r="D111" s="109">
        <v>0.3</v>
      </c>
      <c r="E111" s="105" t="s">
        <v>24</v>
      </c>
      <c r="F111" s="105" t="s">
        <v>1193</v>
      </c>
      <c r="G111" s="105"/>
      <c r="H111" s="105" t="s">
        <v>64</v>
      </c>
      <c r="I111" s="105" t="s">
        <v>175</v>
      </c>
    </row>
    <row r="112" spans="1:9" s="108" customFormat="1">
      <c r="A112" s="105" t="s">
        <v>177</v>
      </c>
      <c r="B112" s="105" t="s">
        <v>55</v>
      </c>
      <c r="C112" s="106">
        <v>938</v>
      </c>
      <c r="D112" s="107">
        <v>0.1</v>
      </c>
      <c r="E112" s="105" t="s">
        <v>24</v>
      </c>
      <c r="F112" s="105" t="s">
        <v>1099</v>
      </c>
      <c r="G112" s="105"/>
      <c r="H112" s="105" t="s">
        <v>64</v>
      </c>
      <c r="I112" s="105" t="s">
        <v>175</v>
      </c>
    </row>
    <row r="113" spans="1:9" s="108" customFormat="1">
      <c r="A113" s="105" t="s">
        <v>178</v>
      </c>
      <c r="B113" s="105" t="s">
        <v>55</v>
      </c>
      <c r="C113" s="106">
        <v>2211</v>
      </c>
      <c r="D113" s="107">
        <v>0.1</v>
      </c>
      <c r="E113" s="105" t="s">
        <v>24</v>
      </c>
      <c r="F113" s="105" t="s">
        <v>1099</v>
      </c>
      <c r="G113" s="105"/>
      <c r="H113" s="105" t="s">
        <v>64</v>
      </c>
      <c r="I113" s="105" t="s">
        <v>175</v>
      </c>
    </row>
    <row r="114" spans="1:9" s="108" customFormat="1" ht="15.6">
      <c r="A114" s="105" t="s">
        <v>73</v>
      </c>
      <c r="B114" s="105" t="s">
        <v>55</v>
      </c>
      <c r="C114" s="106">
        <f>C112*G114+(1-G114)*C113</f>
        <v>1421.74</v>
      </c>
      <c r="D114" s="107">
        <v>0.3</v>
      </c>
      <c r="E114" s="105" t="s">
        <v>24</v>
      </c>
      <c r="F114" s="105" t="s">
        <v>167</v>
      </c>
      <c r="G114" s="113">
        <v>0.62</v>
      </c>
      <c r="H114" s="105" t="s">
        <v>64</v>
      </c>
      <c r="I114" s="105" t="s">
        <v>175</v>
      </c>
    </row>
    <row r="115" spans="1:9" s="108" customFormat="1" ht="15.6">
      <c r="A115" s="105" t="s">
        <v>1194</v>
      </c>
      <c r="B115" s="105" t="s">
        <v>74</v>
      </c>
      <c r="C115" s="106">
        <v>1.68</v>
      </c>
      <c r="D115" s="109"/>
      <c r="E115" s="105" t="s">
        <v>24</v>
      </c>
      <c r="F115" s="105" t="s">
        <v>1193</v>
      </c>
      <c r="G115" s="105"/>
      <c r="H115" s="105" t="s">
        <v>64</v>
      </c>
      <c r="I115" s="105" t="s">
        <v>175</v>
      </c>
    </row>
    <row r="116" spans="1:9" s="108" customFormat="1" ht="15.6">
      <c r="A116" s="105" t="s">
        <v>1195</v>
      </c>
      <c r="B116" s="105" t="s">
        <v>74</v>
      </c>
      <c r="C116" s="106">
        <v>6.6687000000000003</v>
      </c>
      <c r="D116" s="109"/>
      <c r="E116" s="105" t="s">
        <v>24</v>
      </c>
      <c r="F116" s="105" t="s">
        <v>1134</v>
      </c>
      <c r="G116" s="105" t="s">
        <v>1135</v>
      </c>
      <c r="H116" s="105" t="s">
        <v>64</v>
      </c>
      <c r="I116" s="105" t="s">
        <v>175</v>
      </c>
    </row>
    <row r="117" spans="1:9" s="108" customFormat="1" ht="15.6">
      <c r="A117" s="105" t="s">
        <v>1196</v>
      </c>
      <c r="B117" s="105" t="s">
        <v>74</v>
      </c>
      <c r="C117" s="106">
        <v>5.58</v>
      </c>
      <c r="D117" s="109"/>
      <c r="E117" s="105" t="s">
        <v>24</v>
      </c>
      <c r="F117" s="105" t="s">
        <v>1134</v>
      </c>
      <c r="G117" s="105" t="s">
        <v>1135</v>
      </c>
      <c r="H117" s="105" t="s">
        <v>64</v>
      </c>
      <c r="I117" s="105" t="s">
        <v>175</v>
      </c>
    </row>
    <row r="118" spans="1:9" s="108" customFormat="1" ht="15.6">
      <c r="A118" s="105" t="s">
        <v>1197</v>
      </c>
      <c r="B118" s="105" t="s">
        <v>74</v>
      </c>
      <c r="C118" s="106">
        <v>6.58</v>
      </c>
      <c r="D118" s="109"/>
      <c r="E118" s="105" t="s">
        <v>24</v>
      </c>
      <c r="F118" s="105" t="s">
        <v>1134</v>
      </c>
      <c r="G118" s="105" t="s">
        <v>1135</v>
      </c>
      <c r="H118" s="105" t="s">
        <v>64</v>
      </c>
      <c r="I118" s="105" t="s">
        <v>175</v>
      </c>
    </row>
    <row r="119" spans="1:9" s="108" customFormat="1" ht="15.6">
      <c r="A119" s="105" t="s">
        <v>1198</v>
      </c>
      <c r="B119" s="105" t="s">
        <v>74</v>
      </c>
      <c r="C119" s="106">
        <v>7.47</v>
      </c>
      <c r="D119" s="109"/>
      <c r="E119" s="105" t="s">
        <v>24</v>
      </c>
      <c r="F119" s="105" t="s">
        <v>1134</v>
      </c>
      <c r="G119" s="105" t="s">
        <v>1135</v>
      </c>
      <c r="H119" s="105" t="s">
        <v>64</v>
      </c>
      <c r="I119" s="105" t="s">
        <v>175</v>
      </c>
    </row>
    <row r="120" spans="1:9" s="108" customFormat="1" ht="15.6">
      <c r="A120" s="105" t="s">
        <v>1199</v>
      </c>
      <c r="B120" s="105" t="s">
        <v>74</v>
      </c>
      <c r="C120" s="106">
        <v>6.83</v>
      </c>
      <c r="D120" s="109"/>
      <c r="E120" s="105" t="s">
        <v>24</v>
      </c>
      <c r="F120" s="105" t="s">
        <v>1134</v>
      </c>
      <c r="G120" s="105" t="s">
        <v>1135</v>
      </c>
      <c r="H120" s="105" t="s">
        <v>64</v>
      </c>
      <c r="I120" s="105" t="s">
        <v>175</v>
      </c>
    </row>
    <row r="121" spans="1:9" s="108" customFormat="1" ht="15.6">
      <c r="A121" s="105" t="s">
        <v>1200</v>
      </c>
      <c r="B121" s="105" t="s">
        <v>74</v>
      </c>
      <c r="C121" s="106">
        <v>6.72</v>
      </c>
      <c r="D121" s="109"/>
      <c r="E121" s="105" t="s">
        <v>24</v>
      </c>
      <c r="F121" s="105" t="s">
        <v>1134</v>
      </c>
      <c r="G121" s="105" t="s">
        <v>1135</v>
      </c>
      <c r="H121" s="105" t="s">
        <v>64</v>
      </c>
      <c r="I121" s="105" t="s">
        <v>175</v>
      </c>
    </row>
    <row r="122" spans="1:9" s="108" customFormat="1" ht="15.6">
      <c r="A122" s="105" t="s">
        <v>180</v>
      </c>
      <c r="B122" s="105" t="s">
        <v>74</v>
      </c>
      <c r="C122" s="106">
        <v>7.8</v>
      </c>
      <c r="D122" s="109">
        <v>0.3</v>
      </c>
      <c r="E122" s="105" t="s">
        <v>24</v>
      </c>
      <c r="F122" s="105" t="s">
        <v>1201</v>
      </c>
      <c r="G122" s="105"/>
      <c r="H122" s="105" t="s">
        <v>64</v>
      </c>
      <c r="I122" s="105" t="s">
        <v>175</v>
      </c>
    </row>
    <row r="123" spans="1:9" s="108" customFormat="1" ht="15.6">
      <c r="A123" s="105" t="s">
        <v>1202</v>
      </c>
      <c r="B123" s="105" t="s">
        <v>74</v>
      </c>
      <c r="C123" s="106">
        <v>0.56200000000000006</v>
      </c>
      <c r="D123" s="109">
        <v>0.3</v>
      </c>
      <c r="E123" s="105" t="s">
        <v>24</v>
      </c>
      <c r="F123" s="105" t="s">
        <v>1201</v>
      </c>
      <c r="G123" s="105"/>
      <c r="H123" s="105" t="s">
        <v>64</v>
      </c>
      <c r="I123" s="105" t="s">
        <v>175</v>
      </c>
    </row>
    <row r="124" spans="1:9" s="108" customFormat="1" ht="15.6">
      <c r="A124" s="105" t="s">
        <v>181</v>
      </c>
      <c r="B124" s="105" t="s">
        <v>74</v>
      </c>
      <c r="C124" s="106">
        <v>319.61703</v>
      </c>
      <c r="D124" s="109"/>
      <c r="E124" s="105" t="s">
        <v>24</v>
      </c>
      <c r="F124" s="105" t="s">
        <v>1203</v>
      </c>
      <c r="G124" s="105" t="s">
        <v>176</v>
      </c>
      <c r="H124" s="105" t="s">
        <v>64</v>
      </c>
      <c r="I124" s="105" t="s">
        <v>175</v>
      </c>
    </row>
    <row r="125" spans="1:9" ht="15.6">
      <c r="A125" s="17" t="s">
        <v>182</v>
      </c>
      <c r="B125" s="17" t="s">
        <v>55</v>
      </c>
      <c r="C125" s="58">
        <v>3667</v>
      </c>
      <c r="D125" s="59">
        <v>0.3</v>
      </c>
      <c r="E125" s="17" t="s">
        <v>24</v>
      </c>
      <c r="F125" s="17" t="s">
        <v>183</v>
      </c>
      <c r="G125" s="17"/>
      <c r="H125" s="17" t="s">
        <v>64</v>
      </c>
      <c r="I125" s="17" t="s">
        <v>175</v>
      </c>
    </row>
    <row r="126" spans="1:9" s="108" customFormat="1" ht="15.6">
      <c r="A126" s="105" t="s">
        <v>1204</v>
      </c>
      <c r="B126" s="105" t="s">
        <v>59</v>
      </c>
      <c r="C126" s="106">
        <v>1.73</v>
      </c>
      <c r="D126" s="109">
        <v>0.3</v>
      </c>
      <c r="E126" s="105" t="s">
        <v>24</v>
      </c>
      <c r="F126" s="111" t="s">
        <v>144</v>
      </c>
      <c r="G126" s="105" t="s">
        <v>1205</v>
      </c>
      <c r="H126" s="105" t="s">
        <v>64</v>
      </c>
      <c r="I126" s="105" t="s">
        <v>175</v>
      </c>
    </row>
    <row r="127" spans="1:9" s="108" customFormat="1" ht="15.6">
      <c r="A127" s="105" t="s">
        <v>1206</v>
      </c>
      <c r="B127" s="105" t="s">
        <v>59</v>
      </c>
      <c r="C127" s="106">
        <v>25.3</v>
      </c>
      <c r="D127" s="109">
        <v>0.3</v>
      </c>
      <c r="E127" s="105" t="s">
        <v>24</v>
      </c>
      <c r="F127" s="111" t="s">
        <v>144</v>
      </c>
      <c r="G127" s="105" t="s">
        <v>1207</v>
      </c>
      <c r="H127" s="105" t="s">
        <v>64</v>
      </c>
      <c r="I127" s="105" t="s">
        <v>175</v>
      </c>
    </row>
    <row r="128" spans="1:9" ht="15.6">
      <c r="A128" s="17" t="s">
        <v>184</v>
      </c>
      <c r="B128" s="17" t="s">
        <v>74</v>
      </c>
      <c r="C128" s="58">
        <v>2.5865999999999998</v>
      </c>
      <c r="D128" s="59">
        <v>0.3</v>
      </c>
      <c r="E128" s="17" t="s">
        <v>24</v>
      </c>
      <c r="F128" s="17" t="s">
        <v>140</v>
      </c>
      <c r="G128" s="17" t="s">
        <v>185</v>
      </c>
      <c r="H128" s="17" t="s">
        <v>64</v>
      </c>
      <c r="I128" s="17" t="s">
        <v>175</v>
      </c>
    </row>
    <row r="129" spans="1:9" ht="15.6">
      <c r="A129" s="17" t="s">
        <v>186</v>
      </c>
      <c r="B129" s="17" t="s">
        <v>74</v>
      </c>
      <c r="C129" s="58">
        <v>2.7698</v>
      </c>
      <c r="D129" s="59">
        <v>0.3</v>
      </c>
      <c r="E129" s="17" t="s">
        <v>24</v>
      </c>
      <c r="F129" s="17" t="s">
        <v>140</v>
      </c>
      <c r="G129" s="17"/>
      <c r="H129" s="17" t="s">
        <v>64</v>
      </c>
      <c r="I129" s="17" t="s">
        <v>175</v>
      </c>
    </row>
    <row r="130" spans="1:9" ht="15.6">
      <c r="A130" s="17" t="s">
        <v>187</v>
      </c>
      <c r="B130" s="17" t="s">
        <v>74</v>
      </c>
      <c r="C130" s="58">
        <v>0.79825000000000002</v>
      </c>
      <c r="D130" s="59">
        <v>0.3</v>
      </c>
      <c r="E130" s="17" t="s">
        <v>24</v>
      </c>
      <c r="F130" s="17" t="s">
        <v>140</v>
      </c>
      <c r="G130" s="17"/>
      <c r="H130" s="17" t="s">
        <v>64</v>
      </c>
      <c r="I130" s="17" t="s">
        <v>175</v>
      </c>
    </row>
    <row r="131" spans="1:9" ht="15.6">
      <c r="A131" s="17" t="s">
        <v>188</v>
      </c>
      <c r="B131" s="17" t="s">
        <v>78</v>
      </c>
      <c r="C131" s="58">
        <v>150</v>
      </c>
      <c r="D131" s="59">
        <v>0.3</v>
      </c>
      <c r="E131" s="17"/>
      <c r="F131" s="17" t="s">
        <v>189</v>
      </c>
      <c r="G131" s="17"/>
      <c r="H131" s="17" t="s">
        <v>64</v>
      </c>
      <c r="I131" s="17" t="s">
        <v>175</v>
      </c>
    </row>
    <row r="132" spans="1:9" s="108" customFormat="1" ht="15.6">
      <c r="A132" s="105" t="s">
        <v>1208</v>
      </c>
      <c r="B132" s="105" t="s">
        <v>78</v>
      </c>
      <c r="C132" s="106">
        <f>0.0236*1.68*1000</f>
        <v>39.647999999999996</v>
      </c>
      <c r="D132" s="109"/>
      <c r="E132" s="105"/>
      <c r="F132" s="105" t="s">
        <v>1105</v>
      </c>
      <c r="G132" s="105"/>
      <c r="H132" s="105" t="s">
        <v>64</v>
      </c>
      <c r="I132" s="105" t="s">
        <v>175</v>
      </c>
    </row>
    <row r="133" spans="1:9" s="108" customFormat="1" ht="15.6">
      <c r="A133" s="105" t="s">
        <v>1209</v>
      </c>
      <c r="B133" s="105" t="s">
        <v>78</v>
      </c>
      <c r="C133" s="106">
        <f>0.0312*1.68*1000</f>
        <v>52.415999999999997</v>
      </c>
      <c r="D133" s="109"/>
      <c r="E133" s="105"/>
      <c r="F133" s="105" t="s">
        <v>1105</v>
      </c>
      <c r="G133" s="105"/>
      <c r="H133" s="105" t="s">
        <v>64</v>
      </c>
      <c r="I133" s="105" t="s">
        <v>175</v>
      </c>
    </row>
    <row r="134" spans="1:9" s="108" customFormat="1" ht="15.6">
      <c r="A134" s="105" t="s">
        <v>1210</v>
      </c>
      <c r="B134" s="105" t="s">
        <v>78</v>
      </c>
      <c r="C134" s="106">
        <f>0.0406*1.68*1000</f>
        <v>68.207999999999984</v>
      </c>
      <c r="D134" s="109"/>
      <c r="E134" s="105"/>
      <c r="F134" s="105" t="s">
        <v>1105</v>
      </c>
      <c r="G134" s="105"/>
      <c r="H134" s="105" t="s">
        <v>64</v>
      </c>
      <c r="I134" s="105" t="s">
        <v>175</v>
      </c>
    </row>
    <row r="135" spans="1:9" s="108" customFormat="1" ht="15.6">
      <c r="A135" s="105" t="s">
        <v>1211</v>
      </c>
      <c r="B135" s="105" t="s">
        <v>78</v>
      </c>
      <c r="C135" s="106">
        <f>0.0508*1.68*1000</f>
        <v>85.343999999999994</v>
      </c>
      <c r="D135" s="109"/>
      <c r="E135" s="105"/>
      <c r="F135" s="105" t="s">
        <v>1105</v>
      </c>
      <c r="G135" s="105"/>
      <c r="H135" s="105" t="s">
        <v>64</v>
      </c>
      <c r="I135" s="105" t="s">
        <v>175</v>
      </c>
    </row>
    <row r="136" spans="1:9" s="108" customFormat="1" ht="15.6">
      <c r="A136" s="105" t="s">
        <v>1212</v>
      </c>
      <c r="B136" s="105" t="s">
        <v>78</v>
      </c>
      <c r="C136" s="106">
        <f>0.0805*1.68*1000</f>
        <v>135.24</v>
      </c>
      <c r="D136" s="109"/>
      <c r="E136" s="105"/>
      <c r="F136" s="105" t="s">
        <v>1105</v>
      </c>
      <c r="G136" s="105"/>
      <c r="H136" s="105" t="s">
        <v>64</v>
      </c>
      <c r="I136" s="105" t="s">
        <v>175</v>
      </c>
    </row>
    <row r="137" spans="1:9" s="108" customFormat="1" ht="15.6">
      <c r="A137" s="105" t="s">
        <v>1213</v>
      </c>
      <c r="B137" s="105" t="s">
        <v>78</v>
      </c>
      <c r="C137" s="106">
        <f>0.0955*1.68*1000</f>
        <v>160.44</v>
      </c>
      <c r="D137" s="109"/>
      <c r="E137" s="105"/>
      <c r="F137" s="105" t="s">
        <v>1105</v>
      </c>
      <c r="G137" s="105"/>
      <c r="H137" s="105" t="s">
        <v>64</v>
      </c>
      <c r="I137" s="105" t="s">
        <v>175</v>
      </c>
    </row>
    <row r="138" spans="1:9" ht="15.6">
      <c r="A138" s="17" t="s">
        <v>190</v>
      </c>
      <c r="B138" s="17" t="s">
        <v>74</v>
      </c>
      <c r="C138" s="58">
        <v>26.457000000000001</v>
      </c>
      <c r="D138" s="59">
        <v>0.3</v>
      </c>
      <c r="E138" s="17" t="s">
        <v>24</v>
      </c>
      <c r="F138" s="17" t="s">
        <v>140</v>
      </c>
      <c r="G138" s="17"/>
      <c r="H138" s="17" t="s">
        <v>64</v>
      </c>
      <c r="I138" s="17" t="s">
        <v>175</v>
      </c>
    </row>
    <row r="139" spans="1:9" s="108" customFormat="1" ht="15.6">
      <c r="A139" s="105" t="s">
        <v>191</v>
      </c>
      <c r="B139" s="105" t="s">
        <v>74</v>
      </c>
      <c r="C139" s="106">
        <v>36.053359999999998</v>
      </c>
      <c r="D139" s="109"/>
      <c r="E139" s="105" t="s">
        <v>24</v>
      </c>
      <c r="F139" s="105" t="s">
        <v>1203</v>
      </c>
      <c r="G139" s="105" t="s">
        <v>1214</v>
      </c>
      <c r="H139" s="105" t="s">
        <v>64</v>
      </c>
      <c r="I139" s="105" t="s">
        <v>175</v>
      </c>
    </row>
    <row r="140" spans="1:9" s="108" customFormat="1" ht="15.6">
      <c r="A140" s="105" t="s">
        <v>1215</v>
      </c>
      <c r="B140" s="105" t="s">
        <v>59</v>
      </c>
      <c r="C140" s="106">
        <v>17.3</v>
      </c>
      <c r="D140" s="109">
        <v>0.3</v>
      </c>
      <c r="E140" s="105" t="s">
        <v>24</v>
      </c>
      <c r="F140" s="111" t="s">
        <v>144</v>
      </c>
      <c r="G140" s="105" t="s">
        <v>1216</v>
      </c>
      <c r="H140" s="105" t="s">
        <v>64</v>
      </c>
      <c r="I140" s="105" t="s">
        <v>175</v>
      </c>
    </row>
    <row r="141" spans="1:9" s="108" customFormat="1" ht="15.6">
      <c r="A141" s="105" t="s">
        <v>1217</v>
      </c>
      <c r="B141" s="105" t="s">
        <v>59</v>
      </c>
      <c r="C141" s="106">
        <v>25.6</v>
      </c>
      <c r="D141" s="109">
        <v>0.3</v>
      </c>
      <c r="E141" s="105" t="s">
        <v>24</v>
      </c>
      <c r="F141" s="111" t="s">
        <v>144</v>
      </c>
      <c r="G141" s="105" t="s">
        <v>1218</v>
      </c>
      <c r="H141" s="105" t="s">
        <v>64</v>
      </c>
      <c r="I141" s="105" t="s">
        <v>175</v>
      </c>
    </row>
    <row r="142" spans="1:9" s="108" customFormat="1" ht="15.6">
      <c r="A142" s="105" t="s">
        <v>192</v>
      </c>
      <c r="B142" s="105" t="s">
        <v>74</v>
      </c>
      <c r="C142" s="106">
        <v>1.304</v>
      </c>
      <c r="D142" s="109">
        <v>0.5</v>
      </c>
      <c r="E142" s="105" t="s">
        <v>24</v>
      </c>
      <c r="F142" s="105" t="s">
        <v>1201</v>
      </c>
      <c r="G142" s="105"/>
      <c r="H142" s="105" t="s">
        <v>64</v>
      </c>
      <c r="I142" s="105" t="s">
        <v>175</v>
      </c>
    </row>
    <row r="143" spans="1:9" s="108" customFormat="1" ht="15.6">
      <c r="A143" s="105" t="s">
        <v>1219</v>
      </c>
      <c r="B143" s="105" t="s">
        <v>74</v>
      </c>
      <c r="C143" s="106">
        <v>1.4450000000000001</v>
      </c>
      <c r="D143" s="109">
        <v>0.5</v>
      </c>
      <c r="E143" s="105" t="s">
        <v>24</v>
      </c>
      <c r="F143" s="105" t="s">
        <v>1201</v>
      </c>
      <c r="G143" s="105"/>
      <c r="H143" s="105" t="s">
        <v>64</v>
      </c>
      <c r="I143" s="105" t="s">
        <v>175</v>
      </c>
    </row>
    <row r="144" spans="1:9" s="108" customFormat="1" ht="15.6">
      <c r="A144" s="114" t="s">
        <v>101</v>
      </c>
      <c r="B144" s="105" t="s">
        <v>74</v>
      </c>
      <c r="C144" s="106">
        <f>C142*G144+C143*(1-G144)</f>
        <v>1.39988</v>
      </c>
      <c r="D144" s="109">
        <v>0.5</v>
      </c>
      <c r="E144" s="105" t="s">
        <v>24</v>
      </c>
      <c r="F144" s="105" t="s">
        <v>1220</v>
      </c>
      <c r="G144" s="107">
        <v>0.32</v>
      </c>
      <c r="H144" s="105" t="s">
        <v>64</v>
      </c>
      <c r="I144" s="105" t="s">
        <v>175</v>
      </c>
    </row>
    <row r="145" spans="1:9" s="108" customFormat="1" ht="15.6">
      <c r="A145" s="105" t="s">
        <v>193</v>
      </c>
      <c r="B145" s="105" t="s">
        <v>74</v>
      </c>
      <c r="C145" s="106">
        <v>5.7882600000000002</v>
      </c>
      <c r="D145" s="109"/>
      <c r="E145" s="105" t="s">
        <v>24</v>
      </c>
      <c r="F145" s="105" t="s">
        <v>1203</v>
      </c>
      <c r="G145" s="105" t="s">
        <v>1221</v>
      </c>
      <c r="H145" s="105" t="s">
        <v>64</v>
      </c>
      <c r="I145" s="105" t="s">
        <v>175</v>
      </c>
    </row>
    <row r="146" spans="1:9" ht="15.6">
      <c r="A146" s="17" t="s">
        <v>194</v>
      </c>
      <c r="B146" s="17" t="s">
        <v>55</v>
      </c>
      <c r="C146" s="58">
        <v>2000</v>
      </c>
      <c r="D146" s="59">
        <v>0.3</v>
      </c>
      <c r="E146" s="17" t="s">
        <v>24</v>
      </c>
      <c r="F146" s="17" t="s">
        <v>137</v>
      </c>
      <c r="G146" s="17" t="s">
        <v>195</v>
      </c>
      <c r="H146" s="17" t="s">
        <v>64</v>
      </c>
      <c r="I146" s="17" t="s">
        <v>175</v>
      </c>
    </row>
    <row r="147" spans="1:9">
      <c r="A147" s="17" t="s">
        <v>95</v>
      </c>
      <c r="B147" s="17" t="s">
        <v>55</v>
      </c>
      <c r="C147" s="58">
        <v>1595</v>
      </c>
      <c r="D147" s="57">
        <v>0.2</v>
      </c>
      <c r="E147" s="17" t="s">
        <v>24</v>
      </c>
      <c r="F147" s="17" t="s">
        <v>135</v>
      </c>
      <c r="G147" s="17"/>
      <c r="H147" s="17" t="s">
        <v>64</v>
      </c>
      <c r="I147" s="17" t="s">
        <v>175</v>
      </c>
    </row>
    <row r="148" spans="1:9">
      <c r="A148" s="17" t="s">
        <v>196</v>
      </c>
      <c r="B148" s="17" t="s">
        <v>55</v>
      </c>
      <c r="C148" s="58">
        <v>3190</v>
      </c>
      <c r="D148" s="57">
        <v>0.1</v>
      </c>
      <c r="E148" s="17" t="s">
        <v>24</v>
      </c>
      <c r="F148" s="17" t="s">
        <v>135</v>
      </c>
      <c r="G148" s="17"/>
      <c r="H148" s="17" t="s">
        <v>64</v>
      </c>
      <c r="I148" s="17" t="s">
        <v>175</v>
      </c>
    </row>
    <row r="149" spans="1:9" s="108" customFormat="1" ht="15.6">
      <c r="A149" s="105" t="s">
        <v>1222</v>
      </c>
      <c r="B149" s="105" t="s">
        <v>452</v>
      </c>
      <c r="C149" s="106">
        <f>0.0213*1.68*1000</f>
        <v>35.783999999999999</v>
      </c>
      <c r="D149" s="109"/>
      <c r="E149" s="105" t="s">
        <v>24</v>
      </c>
      <c r="F149" s="105" t="s">
        <v>1105</v>
      </c>
      <c r="G149" s="105"/>
      <c r="H149" s="105" t="s">
        <v>64</v>
      </c>
      <c r="I149" s="105" t="s">
        <v>175</v>
      </c>
    </row>
    <row r="150" spans="1:9" s="108" customFormat="1" ht="15.6">
      <c r="A150" s="105" t="s">
        <v>1223</v>
      </c>
      <c r="B150" s="105" t="s">
        <v>452</v>
      </c>
      <c r="C150" s="106">
        <f>0.0327*1.68*1000</f>
        <v>54.936</v>
      </c>
      <c r="D150" s="109"/>
      <c r="E150" s="105" t="s">
        <v>24</v>
      </c>
      <c r="F150" s="105" t="s">
        <v>1105</v>
      </c>
      <c r="G150" s="105"/>
      <c r="H150" s="105" t="s">
        <v>64</v>
      </c>
      <c r="I150" s="105" t="s">
        <v>175</v>
      </c>
    </row>
    <row r="151" spans="1:9" s="108" customFormat="1" ht="15.6">
      <c r="A151" s="105" t="s">
        <v>1224</v>
      </c>
      <c r="B151" s="105" t="s">
        <v>452</v>
      </c>
      <c r="C151" s="106">
        <f>0.048*1.68*1000</f>
        <v>80.64</v>
      </c>
      <c r="D151" s="109"/>
      <c r="E151" s="105" t="s">
        <v>24</v>
      </c>
      <c r="F151" s="105" t="s">
        <v>1105</v>
      </c>
      <c r="G151" s="105"/>
      <c r="H151" s="105" t="s">
        <v>64</v>
      </c>
      <c r="I151" s="105" t="s">
        <v>175</v>
      </c>
    </row>
    <row r="152" spans="1:9" s="108" customFormat="1" ht="15.6">
      <c r="A152" s="105" t="s">
        <v>1225</v>
      </c>
      <c r="B152" s="105" t="s">
        <v>452</v>
      </c>
      <c r="C152" s="106">
        <f>0.077*1.68*1000</f>
        <v>129.36000000000001</v>
      </c>
      <c r="D152" s="109"/>
      <c r="E152" s="105" t="s">
        <v>24</v>
      </c>
      <c r="F152" s="105" t="s">
        <v>1105</v>
      </c>
      <c r="G152" s="105"/>
      <c r="H152" s="105" t="s">
        <v>64</v>
      </c>
      <c r="I152" s="105" t="s">
        <v>175</v>
      </c>
    </row>
    <row r="153" spans="1:9" s="108" customFormat="1" ht="15.6">
      <c r="A153" s="105" t="s">
        <v>1226</v>
      </c>
      <c r="B153" s="105" t="s">
        <v>452</v>
      </c>
      <c r="C153" s="106">
        <f>0.0945*1.68*1000</f>
        <v>158.76</v>
      </c>
      <c r="D153" s="109"/>
      <c r="E153" s="105" t="s">
        <v>24</v>
      </c>
      <c r="F153" s="105" t="s">
        <v>1105</v>
      </c>
      <c r="G153" s="105"/>
      <c r="H153" s="105" t="s">
        <v>64</v>
      </c>
      <c r="I153" s="105" t="s">
        <v>175</v>
      </c>
    </row>
    <row r="154" spans="1:9" s="108" customFormat="1">
      <c r="A154" s="105" t="s">
        <v>197</v>
      </c>
      <c r="B154" s="105" t="s">
        <v>55</v>
      </c>
      <c r="C154" s="106">
        <v>20</v>
      </c>
      <c r="D154" s="107"/>
      <c r="E154" s="105" t="s">
        <v>24</v>
      </c>
      <c r="F154" s="105" t="s">
        <v>1105</v>
      </c>
      <c r="G154" s="105"/>
      <c r="H154" s="105" t="s">
        <v>64</v>
      </c>
      <c r="I154" s="105" t="s">
        <v>175</v>
      </c>
    </row>
    <row r="155" spans="1:9" s="108" customFormat="1" ht="15.6">
      <c r="A155" s="105" t="s">
        <v>198</v>
      </c>
      <c r="B155" s="105" t="s">
        <v>74</v>
      </c>
      <c r="C155" s="106">
        <v>0.61</v>
      </c>
      <c r="D155" s="109"/>
      <c r="E155" s="105" t="s">
        <v>24</v>
      </c>
      <c r="F155" s="105" t="s">
        <v>1227</v>
      </c>
      <c r="G155" s="105" t="s">
        <v>1228</v>
      </c>
      <c r="H155" s="105" t="s">
        <v>64</v>
      </c>
      <c r="I155" s="105" t="s">
        <v>175</v>
      </c>
    </row>
    <row r="156" spans="1:9" ht="15.6">
      <c r="A156" s="17" t="s">
        <v>199</v>
      </c>
      <c r="B156" s="17" t="s">
        <v>74</v>
      </c>
      <c r="C156" s="58">
        <v>21.055</v>
      </c>
      <c r="D156" s="59">
        <v>0.3</v>
      </c>
      <c r="E156" s="17" t="s">
        <v>24</v>
      </c>
      <c r="F156" s="17" t="s">
        <v>140</v>
      </c>
      <c r="G156" s="17"/>
      <c r="H156" s="17" t="s">
        <v>64</v>
      </c>
      <c r="I156" s="17" t="s">
        <v>175</v>
      </c>
    </row>
    <row r="157" spans="1:9" s="108" customFormat="1" ht="15.6">
      <c r="A157" s="105" t="s">
        <v>200</v>
      </c>
      <c r="B157" s="105" t="s">
        <v>74</v>
      </c>
      <c r="C157" s="106">
        <v>28.243559999999999</v>
      </c>
      <c r="D157" s="109"/>
      <c r="E157" s="105" t="s">
        <v>24</v>
      </c>
      <c r="F157" s="105" t="s">
        <v>1203</v>
      </c>
      <c r="G157" s="105"/>
      <c r="H157" s="105" t="s">
        <v>64</v>
      </c>
      <c r="I157" s="105" t="s">
        <v>175</v>
      </c>
    </row>
    <row r="158" spans="1:9" ht="15.6">
      <c r="A158" s="17" t="s">
        <v>201</v>
      </c>
      <c r="B158" s="17" t="s">
        <v>74</v>
      </c>
      <c r="C158" s="58">
        <v>2.5868000000000002</v>
      </c>
      <c r="D158" s="59">
        <v>0.3</v>
      </c>
      <c r="E158" s="17" t="s">
        <v>24</v>
      </c>
      <c r="F158" s="17" t="s">
        <v>140</v>
      </c>
      <c r="G158" s="17"/>
      <c r="H158" s="17" t="s">
        <v>64</v>
      </c>
      <c r="I158" s="17" t="s">
        <v>175</v>
      </c>
    </row>
    <row r="159" spans="1:9" ht="15.6">
      <c r="A159" s="17" t="s">
        <v>202</v>
      </c>
      <c r="B159" s="17" t="s">
        <v>74</v>
      </c>
      <c r="C159" s="58">
        <v>12.132999999999999</v>
      </c>
      <c r="D159" s="59">
        <v>0.3</v>
      </c>
      <c r="E159" s="17" t="s">
        <v>24</v>
      </c>
      <c r="F159" s="17" t="s">
        <v>140</v>
      </c>
      <c r="G159" s="17"/>
      <c r="H159" s="17" t="s">
        <v>64</v>
      </c>
      <c r="I159" s="17" t="s">
        <v>175</v>
      </c>
    </row>
    <row r="160" spans="1:9" ht="15.6">
      <c r="A160" s="17" t="s">
        <v>203</v>
      </c>
      <c r="B160" s="17" t="s">
        <v>74</v>
      </c>
      <c r="C160" s="58">
        <v>7.6317000000000004</v>
      </c>
      <c r="D160" s="59">
        <v>0.3</v>
      </c>
      <c r="E160" s="17" t="s">
        <v>24</v>
      </c>
      <c r="F160" s="17" t="s">
        <v>140</v>
      </c>
      <c r="G160" s="17"/>
      <c r="H160" s="17" t="s">
        <v>64</v>
      </c>
      <c r="I160" s="17" t="s">
        <v>175</v>
      </c>
    </row>
    <row r="161" spans="1:9" s="108" customFormat="1" ht="15.6">
      <c r="A161" s="105" t="s">
        <v>204</v>
      </c>
      <c r="B161" s="105" t="s">
        <v>74</v>
      </c>
      <c r="C161" s="106">
        <v>9.1669999999999998</v>
      </c>
      <c r="D161" s="109">
        <v>0.2</v>
      </c>
      <c r="E161" s="105" t="s">
        <v>24</v>
      </c>
      <c r="F161" s="105" t="s">
        <v>1201</v>
      </c>
      <c r="G161" s="105"/>
      <c r="H161" s="105" t="s">
        <v>64</v>
      </c>
      <c r="I161" s="105" t="s">
        <v>175</v>
      </c>
    </row>
    <row r="162" spans="1:9" ht="15.6">
      <c r="A162" s="17" t="s">
        <v>205</v>
      </c>
      <c r="B162" s="17" t="s">
        <v>74</v>
      </c>
      <c r="C162" s="58">
        <v>13139</v>
      </c>
      <c r="D162" s="59">
        <v>0.3</v>
      </c>
      <c r="E162" s="17" t="s">
        <v>24</v>
      </c>
      <c r="F162" s="17" t="s">
        <v>140</v>
      </c>
      <c r="G162" s="17"/>
      <c r="H162" s="17" t="s">
        <v>64</v>
      </c>
      <c r="I162" s="17" t="s">
        <v>175</v>
      </c>
    </row>
    <row r="163" spans="1:9" ht="15.6">
      <c r="A163" s="17" t="s">
        <v>206</v>
      </c>
      <c r="B163" s="17" t="s">
        <v>74</v>
      </c>
      <c r="C163" s="58">
        <v>9693.7000000000007</v>
      </c>
      <c r="D163" s="59">
        <v>0.3</v>
      </c>
      <c r="E163" s="17" t="s">
        <v>24</v>
      </c>
      <c r="F163" s="17" t="s">
        <v>140</v>
      </c>
      <c r="G163" s="17"/>
      <c r="H163" s="17" t="s">
        <v>64</v>
      </c>
      <c r="I163" s="17" t="s">
        <v>175</v>
      </c>
    </row>
    <row r="164" spans="1:9" s="108" customFormat="1" ht="15.6">
      <c r="A164" s="105" t="s">
        <v>1229</v>
      </c>
      <c r="B164" s="105" t="s">
        <v>59</v>
      </c>
      <c r="C164" s="106">
        <v>24</v>
      </c>
      <c r="D164" s="109"/>
      <c r="E164" s="105" t="s">
        <v>24</v>
      </c>
      <c r="F164" s="111" t="s">
        <v>144</v>
      </c>
      <c r="G164" s="105" t="s">
        <v>1230</v>
      </c>
      <c r="H164" s="105" t="s">
        <v>64</v>
      </c>
      <c r="I164" s="105" t="s">
        <v>175</v>
      </c>
    </row>
    <row r="165" spans="1:9" s="108" customFormat="1" ht="15.6">
      <c r="A165" s="105" t="s">
        <v>1231</v>
      </c>
      <c r="B165" s="105" t="s">
        <v>59</v>
      </c>
      <c r="C165" s="106">
        <v>32.9</v>
      </c>
      <c r="D165" s="109"/>
      <c r="E165" s="105" t="s">
        <v>24</v>
      </c>
      <c r="F165" s="111" t="s">
        <v>144</v>
      </c>
      <c r="G165" s="105" t="s">
        <v>1232</v>
      </c>
      <c r="H165" s="105" t="s">
        <v>64</v>
      </c>
      <c r="I165" s="105" t="s">
        <v>175</v>
      </c>
    </row>
    <row r="166" spans="1:9" ht="15.6">
      <c r="A166" s="17" t="s">
        <v>207</v>
      </c>
      <c r="B166" s="17" t="s">
        <v>74</v>
      </c>
      <c r="C166" s="58">
        <v>14765</v>
      </c>
      <c r="D166" s="59">
        <v>0.3</v>
      </c>
      <c r="E166" s="17" t="s">
        <v>24</v>
      </c>
      <c r="F166" s="17" t="s">
        <v>140</v>
      </c>
      <c r="G166" s="17"/>
      <c r="H166" s="17" t="s">
        <v>64</v>
      </c>
      <c r="I166" s="17" t="s">
        <v>175</v>
      </c>
    </row>
    <row r="167" spans="1:9" s="108" customFormat="1" ht="15.6">
      <c r="A167" s="105" t="s">
        <v>1233</v>
      </c>
      <c r="B167" s="105" t="s">
        <v>74</v>
      </c>
      <c r="C167" s="106">
        <v>1.77475</v>
      </c>
      <c r="D167" s="109"/>
      <c r="E167" s="105" t="s">
        <v>24</v>
      </c>
      <c r="F167" s="105" t="s">
        <v>1227</v>
      </c>
      <c r="G167" s="105" t="s">
        <v>1228</v>
      </c>
      <c r="H167" s="105" t="s">
        <v>64</v>
      </c>
      <c r="I167" s="105" t="s">
        <v>175</v>
      </c>
    </row>
    <row r="168" spans="1:9" s="108" customFormat="1" ht="15.6">
      <c r="A168" s="105" t="s">
        <v>1234</v>
      </c>
      <c r="B168" s="105" t="s">
        <v>74</v>
      </c>
      <c r="C168" s="106">
        <v>1.61</v>
      </c>
      <c r="D168" s="109">
        <v>0.3</v>
      </c>
      <c r="E168" s="105" t="s">
        <v>24</v>
      </c>
      <c r="F168" s="105" t="s">
        <v>144</v>
      </c>
      <c r="G168" s="105" t="s">
        <v>1235</v>
      </c>
      <c r="H168" s="105" t="s">
        <v>64</v>
      </c>
      <c r="I168" s="105" t="s">
        <v>175</v>
      </c>
    </row>
    <row r="169" spans="1:9" s="108" customFormat="1" ht="15.6">
      <c r="A169" s="105" t="s">
        <v>208</v>
      </c>
      <c r="B169" s="105" t="s">
        <v>78</v>
      </c>
      <c r="C169" s="106">
        <f>C168*57.09</f>
        <v>91.914900000000017</v>
      </c>
      <c r="D169" s="109">
        <v>0.3</v>
      </c>
      <c r="E169" s="105" t="s">
        <v>24</v>
      </c>
      <c r="F169" s="105" t="s">
        <v>144</v>
      </c>
      <c r="G169" s="105" t="s">
        <v>1236</v>
      </c>
      <c r="H169" s="105" t="s">
        <v>64</v>
      </c>
      <c r="I169" s="105" t="s">
        <v>175</v>
      </c>
    </row>
    <row r="170" spans="1:9" ht="15.6">
      <c r="A170" s="17" t="s">
        <v>209</v>
      </c>
      <c r="B170" s="17" t="s">
        <v>74</v>
      </c>
      <c r="C170" s="60">
        <v>28895</v>
      </c>
      <c r="D170" s="59">
        <v>0.3</v>
      </c>
      <c r="E170" s="17" t="s">
        <v>24</v>
      </c>
      <c r="F170" s="17" t="s">
        <v>140</v>
      </c>
      <c r="G170" s="17"/>
      <c r="H170" s="17" t="s">
        <v>64</v>
      </c>
      <c r="I170" s="17" t="s">
        <v>175</v>
      </c>
    </row>
    <row r="171" spans="1:9" s="108" customFormat="1" ht="15.6">
      <c r="A171" s="105" t="s">
        <v>1237</v>
      </c>
      <c r="B171" s="105" t="s">
        <v>59</v>
      </c>
      <c r="C171" s="106">
        <v>23.9</v>
      </c>
      <c r="D171" s="109"/>
      <c r="E171" s="105" t="s">
        <v>24</v>
      </c>
      <c r="F171" s="111" t="s">
        <v>144</v>
      </c>
      <c r="G171" s="105" t="s">
        <v>1238</v>
      </c>
      <c r="H171" s="105" t="s">
        <v>64</v>
      </c>
      <c r="I171" s="105" t="s">
        <v>175</v>
      </c>
    </row>
    <row r="172" spans="1:9" s="108" customFormat="1" ht="15.6">
      <c r="A172" s="105" t="s">
        <v>1239</v>
      </c>
      <c r="B172" s="105" t="s">
        <v>59</v>
      </c>
      <c r="C172" s="106">
        <v>36.6</v>
      </c>
      <c r="D172" s="109"/>
      <c r="E172" s="105" t="s">
        <v>24</v>
      </c>
      <c r="F172" s="111" t="s">
        <v>144</v>
      </c>
      <c r="G172" s="105" t="s">
        <v>1240</v>
      </c>
      <c r="H172" s="105" t="s">
        <v>64</v>
      </c>
      <c r="I172" s="105" t="s">
        <v>175</v>
      </c>
    </row>
    <row r="173" spans="1:9" s="108" customFormat="1" ht="15.6">
      <c r="A173" s="105" t="s">
        <v>210</v>
      </c>
      <c r="B173" s="105" t="s">
        <v>74</v>
      </c>
      <c r="C173" s="106">
        <v>2.9329999999999998</v>
      </c>
      <c r="D173" s="109">
        <v>0.3</v>
      </c>
      <c r="E173" s="105" t="s">
        <v>24</v>
      </c>
      <c r="F173" s="105" t="s">
        <v>1201</v>
      </c>
      <c r="G173" s="105"/>
      <c r="H173" s="105" t="s">
        <v>64</v>
      </c>
      <c r="I173" s="105" t="s">
        <v>175</v>
      </c>
    </row>
    <row r="174" spans="1:9">
      <c r="A174" s="17"/>
      <c r="B174" s="17"/>
      <c r="C174" s="17"/>
      <c r="D174" s="57"/>
      <c r="E174" s="17" t="s">
        <v>24</v>
      </c>
      <c r="F174" s="17"/>
      <c r="G174" s="17"/>
      <c r="H174" s="17"/>
      <c r="I174" s="17"/>
    </row>
    <row r="175" spans="1:9">
      <c r="A175" s="17" t="s">
        <v>58</v>
      </c>
      <c r="B175" s="17"/>
      <c r="C175" s="58"/>
      <c r="D175" s="57"/>
      <c r="E175" s="17" t="s">
        <v>24</v>
      </c>
      <c r="F175" s="17"/>
      <c r="G175" s="17"/>
      <c r="H175" s="17"/>
      <c r="I175" s="17"/>
    </row>
    <row r="176" spans="1:9" ht="15.6">
      <c r="A176" s="17" t="s">
        <v>211</v>
      </c>
      <c r="B176" s="17" t="s">
        <v>74</v>
      </c>
      <c r="C176" s="58">
        <v>0.56669999999999998</v>
      </c>
      <c r="D176" s="59">
        <v>0.3</v>
      </c>
      <c r="E176" s="17" t="s">
        <v>24</v>
      </c>
      <c r="F176" s="17" t="s">
        <v>140</v>
      </c>
      <c r="G176" s="17"/>
      <c r="H176" s="17" t="s">
        <v>64</v>
      </c>
      <c r="I176" s="17" t="s">
        <v>212</v>
      </c>
    </row>
    <row r="177" spans="1:9" ht="15.6">
      <c r="A177" s="17" t="s">
        <v>213</v>
      </c>
      <c r="B177" s="17" t="s">
        <v>74</v>
      </c>
      <c r="C177" s="58">
        <v>0.40265000000000001</v>
      </c>
      <c r="D177" s="59">
        <v>0.3</v>
      </c>
      <c r="E177" s="17" t="s">
        <v>24</v>
      </c>
      <c r="F177" s="17" t="s">
        <v>140</v>
      </c>
      <c r="G177" s="17"/>
      <c r="H177" s="17" t="s">
        <v>64</v>
      </c>
      <c r="I177" s="17" t="s">
        <v>212</v>
      </c>
    </row>
    <row r="178" spans="1:9" ht="15.6">
      <c r="A178" s="17" t="s">
        <v>214</v>
      </c>
      <c r="B178" s="17" t="s">
        <v>74</v>
      </c>
      <c r="C178" s="58">
        <v>1.0960000000000001</v>
      </c>
      <c r="D178" s="59">
        <v>0.3</v>
      </c>
      <c r="E178" s="17" t="s">
        <v>24</v>
      </c>
      <c r="F178" s="17" t="s">
        <v>140</v>
      </c>
      <c r="G178" s="17"/>
      <c r="H178" s="17" t="s">
        <v>64</v>
      </c>
      <c r="I178" s="17" t="s">
        <v>212</v>
      </c>
    </row>
    <row r="179" spans="1:9">
      <c r="A179" s="17" t="s">
        <v>215</v>
      </c>
      <c r="B179" s="17" t="s">
        <v>55</v>
      </c>
      <c r="C179" s="58">
        <v>2.44</v>
      </c>
      <c r="D179" s="57">
        <v>0.1</v>
      </c>
      <c r="E179" s="17" t="s">
        <v>24</v>
      </c>
      <c r="F179" s="17" t="s">
        <v>135</v>
      </c>
      <c r="G179" s="17"/>
      <c r="H179" s="17" t="s">
        <v>64</v>
      </c>
      <c r="I179" s="17" t="s">
        <v>212</v>
      </c>
    </row>
    <row r="180" spans="1:9" s="108" customFormat="1">
      <c r="A180" s="105" t="s">
        <v>1241</v>
      </c>
      <c r="B180" s="105" t="s">
        <v>55</v>
      </c>
      <c r="C180" s="106">
        <v>38.26</v>
      </c>
      <c r="D180" s="107"/>
      <c r="E180" s="105" t="s">
        <v>24</v>
      </c>
      <c r="F180" s="105" t="s">
        <v>1105</v>
      </c>
      <c r="G180" s="105"/>
      <c r="H180" s="105" t="s">
        <v>64</v>
      </c>
      <c r="I180" s="105" t="s">
        <v>212</v>
      </c>
    </row>
    <row r="181" spans="1:9">
      <c r="A181" s="17" t="s">
        <v>216</v>
      </c>
      <c r="B181" s="17" t="s">
        <v>55</v>
      </c>
      <c r="C181" s="58">
        <v>33.5</v>
      </c>
      <c r="D181" s="57">
        <v>0.1</v>
      </c>
      <c r="E181" s="17" t="s">
        <v>24</v>
      </c>
      <c r="F181" s="17" t="s">
        <v>135</v>
      </c>
      <c r="G181" s="17"/>
      <c r="H181" s="17" t="s">
        <v>64</v>
      </c>
      <c r="I181" s="17" t="s">
        <v>212</v>
      </c>
    </row>
    <row r="182" spans="1:9">
      <c r="A182" s="17" t="s">
        <v>217</v>
      </c>
      <c r="B182" s="17" t="s">
        <v>55</v>
      </c>
      <c r="C182" s="58">
        <v>32.5</v>
      </c>
      <c r="D182" s="57">
        <v>0.1</v>
      </c>
      <c r="E182" s="17" t="s">
        <v>24</v>
      </c>
      <c r="F182" s="17" t="s">
        <v>135</v>
      </c>
      <c r="G182" s="17"/>
      <c r="H182" s="17" t="s">
        <v>64</v>
      </c>
      <c r="I182" s="17" t="s">
        <v>212</v>
      </c>
    </row>
    <row r="183" spans="1:9">
      <c r="A183" s="17" t="s">
        <v>218</v>
      </c>
      <c r="B183" s="17" t="s">
        <v>55</v>
      </c>
      <c r="C183" s="58">
        <v>20.8</v>
      </c>
      <c r="D183" s="57">
        <v>0.1</v>
      </c>
      <c r="E183" s="17" t="s">
        <v>24</v>
      </c>
      <c r="F183" s="17" t="s">
        <v>135</v>
      </c>
      <c r="G183" s="17"/>
      <c r="H183" s="17" t="s">
        <v>64</v>
      </c>
      <c r="I183" s="17" t="s">
        <v>212</v>
      </c>
    </row>
    <row r="184" spans="1:9">
      <c r="A184" s="17" t="s">
        <v>219</v>
      </c>
      <c r="B184" s="17" t="s">
        <v>55</v>
      </c>
      <c r="C184" s="58">
        <v>19.199999999999996</v>
      </c>
      <c r="D184" s="57">
        <v>0.1</v>
      </c>
      <c r="E184" s="17" t="s">
        <v>24</v>
      </c>
      <c r="F184" s="17" t="s">
        <v>135</v>
      </c>
      <c r="G184" s="17"/>
      <c r="H184" s="17" t="s">
        <v>64</v>
      </c>
      <c r="I184" s="17" t="s">
        <v>212</v>
      </c>
    </row>
    <row r="185" spans="1:9" s="108" customFormat="1">
      <c r="A185" s="105" t="s">
        <v>1242</v>
      </c>
      <c r="B185" s="105" t="s">
        <v>55</v>
      </c>
      <c r="C185" s="106">
        <v>32.53</v>
      </c>
      <c r="D185" s="107"/>
      <c r="E185" s="105" t="s">
        <v>24</v>
      </c>
      <c r="F185" s="105" t="s">
        <v>1105</v>
      </c>
      <c r="G185" s="105"/>
      <c r="H185" s="105" t="s">
        <v>64</v>
      </c>
      <c r="I185" s="105" t="s">
        <v>212</v>
      </c>
    </row>
    <row r="186" spans="1:9">
      <c r="A186" s="17" t="s">
        <v>220</v>
      </c>
      <c r="B186" s="17" t="s">
        <v>55</v>
      </c>
      <c r="C186" s="58">
        <v>36.6</v>
      </c>
      <c r="D186" s="57">
        <v>0.1</v>
      </c>
      <c r="E186" s="17" t="s">
        <v>24</v>
      </c>
      <c r="F186" s="17" t="s">
        <v>135</v>
      </c>
      <c r="G186" s="17"/>
      <c r="H186" s="17" t="s">
        <v>64</v>
      </c>
      <c r="I186" s="17" t="s">
        <v>212</v>
      </c>
    </row>
    <row r="187" spans="1:9" s="108" customFormat="1">
      <c r="A187" s="105" t="s">
        <v>1243</v>
      </c>
      <c r="B187" s="105" t="s">
        <v>55</v>
      </c>
      <c r="C187" s="106">
        <v>30.22</v>
      </c>
      <c r="D187" s="107"/>
      <c r="E187" s="105" t="s">
        <v>24</v>
      </c>
      <c r="F187" s="105" t="s">
        <v>1105</v>
      </c>
      <c r="G187" s="105"/>
      <c r="H187" s="105" t="s">
        <v>64</v>
      </c>
      <c r="I187" s="105" t="s">
        <v>212</v>
      </c>
    </row>
    <row r="188" spans="1:9">
      <c r="A188" s="17" t="s">
        <v>221</v>
      </c>
      <c r="B188" s="17" t="s">
        <v>55</v>
      </c>
      <c r="C188" s="58">
        <v>35.4</v>
      </c>
      <c r="D188" s="57">
        <v>0.1</v>
      </c>
      <c r="E188" s="17" t="s">
        <v>24</v>
      </c>
      <c r="F188" s="17" t="s">
        <v>135</v>
      </c>
      <c r="G188" s="17"/>
      <c r="H188" s="17" t="s">
        <v>64</v>
      </c>
      <c r="I188" s="17" t="s">
        <v>212</v>
      </c>
    </row>
    <row r="189" spans="1:9" s="108" customFormat="1">
      <c r="A189" s="105" t="s">
        <v>1244</v>
      </c>
      <c r="B189" s="105" t="s">
        <v>55</v>
      </c>
      <c r="C189" s="106">
        <v>33.61</v>
      </c>
      <c r="D189" s="107"/>
      <c r="E189" s="105" t="s">
        <v>24</v>
      </c>
      <c r="F189" s="105" t="s">
        <v>1105</v>
      </c>
      <c r="G189" s="105"/>
      <c r="H189" s="105" t="s">
        <v>64</v>
      </c>
      <c r="I189" s="105" t="s">
        <v>212</v>
      </c>
    </row>
    <row r="190" spans="1:9" s="108" customFormat="1">
      <c r="A190" s="105" t="s">
        <v>1245</v>
      </c>
      <c r="B190" s="105" t="s">
        <v>55</v>
      </c>
      <c r="C190" s="106">
        <v>32.18</v>
      </c>
      <c r="D190" s="107"/>
      <c r="E190" s="105" t="s">
        <v>24</v>
      </c>
      <c r="F190" s="105" t="s">
        <v>1105</v>
      </c>
      <c r="G190" s="105"/>
      <c r="H190" s="105" t="s">
        <v>64</v>
      </c>
      <c r="I190" s="105" t="s">
        <v>212</v>
      </c>
    </row>
    <row r="191" spans="1:9" s="108" customFormat="1">
      <c r="A191" s="105" t="s">
        <v>222</v>
      </c>
      <c r="B191" s="105" t="s">
        <v>44</v>
      </c>
      <c r="C191" s="106">
        <f>C192*2.43</f>
        <v>83.276100000000014</v>
      </c>
      <c r="D191" s="107"/>
      <c r="E191" s="105" t="s">
        <v>24</v>
      </c>
      <c r="F191" s="105" t="s">
        <v>1246</v>
      </c>
      <c r="G191" s="105"/>
      <c r="H191" s="105" t="s">
        <v>64</v>
      </c>
      <c r="I191" s="105" t="s">
        <v>212</v>
      </c>
    </row>
    <row r="192" spans="1:9" s="108" customFormat="1">
      <c r="A192" s="105" t="s">
        <v>71</v>
      </c>
      <c r="B192" s="105" t="s">
        <v>55</v>
      </c>
      <c r="C192" s="106">
        <v>34.270000000000003</v>
      </c>
      <c r="D192" s="107"/>
      <c r="E192" s="105" t="s">
        <v>24</v>
      </c>
      <c r="F192" s="105" t="s">
        <v>1105</v>
      </c>
      <c r="G192" s="105"/>
      <c r="H192" s="105" t="s">
        <v>64</v>
      </c>
      <c r="I192" s="105" t="s">
        <v>212</v>
      </c>
    </row>
    <row r="193" spans="1:9" s="108" customFormat="1">
      <c r="A193" s="105" t="s">
        <v>1247</v>
      </c>
      <c r="B193" s="105" t="s">
        <v>55</v>
      </c>
      <c r="C193" s="106">
        <v>34.270000000000003</v>
      </c>
      <c r="D193" s="107"/>
      <c r="E193" s="105" t="s">
        <v>24</v>
      </c>
      <c r="F193" s="105" t="s">
        <v>1105</v>
      </c>
      <c r="G193" s="105"/>
      <c r="H193" s="105" t="s">
        <v>64</v>
      </c>
      <c r="I193" s="105" t="s">
        <v>212</v>
      </c>
    </row>
    <row r="194" spans="1:9" s="108" customFormat="1">
      <c r="A194" s="105" t="s">
        <v>1248</v>
      </c>
      <c r="B194" s="105" t="s">
        <v>55</v>
      </c>
      <c r="C194" s="106">
        <v>33.51</v>
      </c>
      <c r="D194" s="107"/>
      <c r="E194" s="105" t="s">
        <v>24</v>
      </c>
      <c r="F194" s="105" t="s">
        <v>1105</v>
      </c>
      <c r="G194" s="105"/>
      <c r="H194" s="105" t="s">
        <v>64</v>
      </c>
      <c r="I194" s="105" t="s">
        <v>212</v>
      </c>
    </row>
    <row r="195" spans="1:9" s="108" customFormat="1">
      <c r="A195" s="105" t="s">
        <v>1249</v>
      </c>
      <c r="B195" s="105" t="s">
        <v>55</v>
      </c>
      <c r="C195" s="106">
        <v>35.450000000000003</v>
      </c>
      <c r="D195" s="107"/>
      <c r="E195" s="105" t="s">
        <v>24</v>
      </c>
      <c r="F195" s="105" t="s">
        <v>1105</v>
      </c>
      <c r="G195" s="105"/>
      <c r="H195" s="105" t="s">
        <v>64</v>
      </c>
      <c r="I195" s="105" t="s">
        <v>212</v>
      </c>
    </row>
    <row r="196" spans="1:9" s="108" customFormat="1">
      <c r="A196" s="105" t="s">
        <v>1250</v>
      </c>
      <c r="B196" s="105" t="s">
        <v>55</v>
      </c>
      <c r="C196" s="106">
        <v>34.6</v>
      </c>
      <c r="D196" s="107"/>
      <c r="E196" s="105" t="s">
        <v>24</v>
      </c>
      <c r="F196" s="105" t="s">
        <v>1105</v>
      </c>
      <c r="G196" s="105"/>
      <c r="H196" s="105" t="s">
        <v>64</v>
      </c>
      <c r="I196" s="105" t="s">
        <v>212</v>
      </c>
    </row>
    <row r="197" spans="1:9" s="108" customFormat="1">
      <c r="A197" s="105" t="s">
        <v>1251</v>
      </c>
      <c r="B197" s="105" t="s">
        <v>55</v>
      </c>
      <c r="C197" s="106">
        <v>35.450000000000003</v>
      </c>
      <c r="D197" s="107"/>
      <c r="E197" s="105" t="s">
        <v>24</v>
      </c>
      <c r="F197" s="105" t="s">
        <v>1105</v>
      </c>
      <c r="G197" s="105"/>
      <c r="H197" s="105" t="s">
        <v>64</v>
      </c>
      <c r="I197" s="105" t="s">
        <v>212</v>
      </c>
    </row>
    <row r="198" spans="1:9" s="108" customFormat="1">
      <c r="A198" s="105" t="s">
        <v>1252</v>
      </c>
      <c r="B198" s="105" t="s">
        <v>55</v>
      </c>
      <c r="C198" s="106">
        <v>33.83</v>
      </c>
      <c r="D198" s="107"/>
      <c r="E198" s="105" t="s">
        <v>24</v>
      </c>
      <c r="F198" s="105" t="s">
        <v>1105</v>
      </c>
      <c r="G198" s="105"/>
      <c r="H198" s="105" t="s">
        <v>64</v>
      </c>
      <c r="I198" s="105" t="s">
        <v>212</v>
      </c>
    </row>
    <row r="199" spans="1:9" s="108" customFormat="1">
      <c r="A199" s="105" t="s">
        <v>1253</v>
      </c>
      <c r="B199" s="105" t="s">
        <v>55</v>
      </c>
      <c r="C199" s="106">
        <v>32.69</v>
      </c>
      <c r="D199" s="107"/>
      <c r="E199" s="105" t="s">
        <v>24</v>
      </c>
      <c r="F199" s="105" t="s">
        <v>1105</v>
      </c>
      <c r="G199" s="105"/>
      <c r="H199" s="105" t="s">
        <v>64</v>
      </c>
      <c r="I199" s="105" t="s">
        <v>212</v>
      </c>
    </row>
    <row r="200" spans="1:9" s="108" customFormat="1">
      <c r="A200" s="105" t="s">
        <v>1254</v>
      </c>
      <c r="B200" s="105" t="s">
        <v>55</v>
      </c>
      <c r="C200" s="106">
        <v>34.229999999999997</v>
      </c>
      <c r="D200" s="107"/>
      <c r="E200" s="105" t="s">
        <v>24</v>
      </c>
      <c r="F200" s="105" t="s">
        <v>1105</v>
      </c>
      <c r="G200" s="105"/>
      <c r="H200" s="105" t="s">
        <v>64</v>
      </c>
      <c r="I200" s="105" t="s">
        <v>212</v>
      </c>
    </row>
    <row r="201" spans="1:9" s="108" customFormat="1">
      <c r="A201" s="105" t="s">
        <v>1255</v>
      </c>
      <c r="B201" s="105" t="s">
        <v>55</v>
      </c>
      <c r="C201" s="106">
        <v>33.35</v>
      </c>
      <c r="D201" s="107"/>
      <c r="E201" s="105" t="s">
        <v>24</v>
      </c>
      <c r="F201" s="105" t="s">
        <v>1105</v>
      </c>
      <c r="G201" s="105"/>
      <c r="H201" s="105" t="s">
        <v>64</v>
      </c>
      <c r="I201" s="105" t="s">
        <v>212</v>
      </c>
    </row>
    <row r="202" spans="1:9" s="108" customFormat="1">
      <c r="A202" s="105" t="s">
        <v>1256</v>
      </c>
      <c r="B202" s="105" t="s">
        <v>55</v>
      </c>
      <c r="C202" s="106">
        <v>31.72</v>
      </c>
      <c r="D202" s="107"/>
      <c r="E202" s="105" t="s">
        <v>24</v>
      </c>
      <c r="F202" s="105" t="s">
        <v>1105</v>
      </c>
      <c r="G202" s="105"/>
      <c r="H202" s="105" t="s">
        <v>64</v>
      </c>
      <c r="I202" s="105" t="s">
        <v>212</v>
      </c>
    </row>
    <row r="203" spans="1:9" s="108" customFormat="1">
      <c r="A203" s="105" t="s">
        <v>1257</v>
      </c>
      <c r="B203" s="105" t="s">
        <v>55</v>
      </c>
      <c r="C203" s="106">
        <v>38.44</v>
      </c>
      <c r="D203" s="107"/>
      <c r="E203" s="105" t="s">
        <v>24</v>
      </c>
      <c r="F203" s="105" t="s">
        <v>1105</v>
      </c>
      <c r="G203" s="105"/>
      <c r="H203" s="105" t="s">
        <v>64</v>
      </c>
      <c r="I203" s="105" t="s">
        <v>212</v>
      </c>
    </row>
    <row r="204" spans="1:9">
      <c r="A204" s="17" t="s">
        <v>223</v>
      </c>
      <c r="B204" s="17" t="s">
        <v>55</v>
      </c>
      <c r="C204" s="58">
        <v>36.200000000000003</v>
      </c>
      <c r="D204" s="57">
        <v>0.1</v>
      </c>
      <c r="E204" s="17" t="s">
        <v>24</v>
      </c>
      <c r="F204" s="17" t="s">
        <v>135</v>
      </c>
      <c r="G204" s="17"/>
      <c r="H204" s="17" t="s">
        <v>64</v>
      </c>
      <c r="I204" s="17" t="s">
        <v>212</v>
      </c>
    </row>
    <row r="205" spans="1:9">
      <c r="A205" s="17" t="s">
        <v>224</v>
      </c>
      <c r="B205" s="17" t="s">
        <v>55</v>
      </c>
      <c r="C205" s="58">
        <v>34.9</v>
      </c>
      <c r="D205" s="57">
        <v>0.1</v>
      </c>
      <c r="E205" s="17" t="s">
        <v>24</v>
      </c>
      <c r="F205" s="17" t="s">
        <v>135</v>
      </c>
      <c r="G205" s="17"/>
      <c r="H205" s="17" t="s">
        <v>64</v>
      </c>
      <c r="I205" s="17" t="s">
        <v>212</v>
      </c>
    </row>
    <row r="206" spans="1:9" s="108" customFormat="1">
      <c r="A206" s="105" t="s">
        <v>225</v>
      </c>
      <c r="B206" s="105" t="s">
        <v>55</v>
      </c>
      <c r="C206" s="106">
        <v>200</v>
      </c>
      <c r="D206" s="107">
        <v>0.2</v>
      </c>
      <c r="E206" s="105" t="s">
        <v>24</v>
      </c>
      <c r="F206" s="105" t="s">
        <v>1099</v>
      </c>
      <c r="G206" s="105"/>
      <c r="H206" s="105" t="s">
        <v>64</v>
      </c>
      <c r="I206" s="105" t="s">
        <v>212</v>
      </c>
    </row>
    <row r="207" spans="1:9">
      <c r="A207" s="17" t="s">
        <v>226</v>
      </c>
      <c r="B207" s="17" t="s">
        <v>55</v>
      </c>
      <c r="C207" s="58">
        <v>33</v>
      </c>
      <c r="D207" s="57">
        <v>0.5</v>
      </c>
      <c r="E207" s="17" t="s">
        <v>24</v>
      </c>
      <c r="F207" s="17" t="s">
        <v>139</v>
      </c>
      <c r="G207" s="17"/>
      <c r="H207" s="17" t="s">
        <v>64</v>
      </c>
      <c r="I207" s="17" t="s">
        <v>212</v>
      </c>
    </row>
    <row r="208" spans="1:9" s="108" customFormat="1">
      <c r="A208" s="105" t="s">
        <v>67</v>
      </c>
      <c r="B208" s="105" t="s">
        <v>55</v>
      </c>
      <c r="C208" s="106">
        <v>53.3</v>
      </c>
      <c r="D208" s="107">
        <v>0.2</v>
      </c>
      <c r="E208" s="105" t="s">
        <v>24</v>
      </c>
      <c r="F208" s="105" t="s">
        <v>1099</v>
      </c>
      <c r="G208" s="105"/>
      <c r="H208" s="105" t="s">
        <v>64</v>
      </c>
      <c r="I208" s="105" t="s">
        <v>212</v>
      </c>
    </row>
    <row r="209" spans="1:9">
      <c r="A209" s="17" t="s">
        <v>81</v>
      </c>
      <c r="B209" s="17" t="s">
        <v>44</v>
      </c>
      <c r="C209" s="58">
        <f>2.35*C208</f>
        <v>125.255</v>
      </c>
      <c r="D209" s="57">
        <v>0.2</v>
      </c>
      <c r="E209" s="17" t="s">
        <v>24</v>
      </c>
      <c r="F209" s="17" t="s">
        <v>139</v>
      </c>
      <c r="G209" s="17"/>
      <c r="H209" s="17" t="s">
        <v>64</v>
      </c>
      <c r="I209" s="17" t="s">
        <v>212</v>
      </c>
    </row>
    <row r="210" spans="1:9">
      <c r="A210" s="17" t="s">
        <v>227</v>
      </c>
      <c r="B210" s="17" t="s">
        <v>55</v>
      </c>
      <c r="C210" s="58">
        <v>33</v>
      </c>
      <c r="D210" s="57">
        <v>0.5</v>
      </c>
      <c r="E210" s="17" t="s">
        <v>24</v>
      </c>
      <c r="F210" s="17" t="s">
        <v>139</v>
      </c>
      <c r="G210" s="17"/>
      <c r="H210" s="17" t="s">
        <v>64</v>
      </c>
      <c r="I210" s="17" t="s">
        <v>212</v>
      </c>
    </row>
    <row r="211" spans="1:9" s="108" customFormat="1">
      <c r="A211" s="105" t="s">
        <v>228</v>
      </c>
      <c r="B211" s="105" t="s">
        <v>55</v>
      </c>
      <c r="C211" s="106">
        <v>36.200000000000003</v>
      </c>
      <c r="D211" s="107">
        <v>0.2</v>
      </c>
      <c r="E211" s="105" t="s">
        <v>24</v>
      </c>
      <c r="F211" s="105" t="s">
        <v>1099</v>
      </c>
      <c r="G211" s="105"/>
      <c r="H211" s="105" t="s">
        <v>64</v>
      </c>
      <c r="I211" s="105" t="s">
        <v>212</v>
      </c>
    </row>
    <row r="212" spans="1:9" s="108" customFormat="1">
      <c r="A212" s="105" t="s">
        <v>229</v>
      </c>
      <c r="B212" s="105" t="s">
        <v>55</v>
      </c>
      <c r="C212" s="106">
        <v>33</v>
      </c>
      <c r="D212" s="107">
        <v>0.5</v>
      </c>
      <c r="E212" s="105" t="s">
        <v>24</v>
      </c>
      <c r="F212" s="105" t="s">
        <v>139</v>
      </c>
      <c r="G212" s="105"/>
      <c r="H212" s="105" t="s">
        <v>64</v>
      </c>
      <c r="I212" s="105" t="s">
        <v>212</v>
      </c>
    </row>
    <row r="213" spans="1:9" s="108" customFormat="1">
      <c r="A213" s="105" t="s">
        <v>230</v>
      </c>
      <c r="B213" s="105" t="s">
        <v>55</v>
      </c>
      <c r="C213" s="106">
        <v>51.1</v>
      </c>
      <c r="D213" s="107">
        <v>0.2</v>
      </c>
      <c r="E213" s="105" t="s">
        <v>24</v>
      </c>
      <c r="F213" s="105" t="s">
        <v>1099</v>
      </c>
      <c r="G213" s="105"/>
      <c r="H213" s="105" t="s">
        <v>64</v>
      </c>
      <c r="I213" s="105" t="s">
        <v>212</v>
      </c>
    </row>
    <row r="214" spans="1:9" s="108" customFormat="1">
      <c r="A214" s="105" t="s">
        <v>231</v>
      </c>
      <c r="B214" s="105" t="s">
        <v>55</v>
      </c>
      <c r="C214" s="106">
        <v>33</v>
      </c>
      <c r="D214" s="107">
        <v>0.5</v>
      </c>
      <c r="E214" s="105" t="s">
        <v>24</v>
      </c>
      <c r="F214" s="105" t="s">
        <v>139</v>
      </c>
      <c r="G214" s="105"/>
      <c r="H214" s="105" t="s">
        <v>64</v>
      </c>
      <c r="I214" s="105" t="s">
        <v>212</v>
      </c>
    </row>
    <row r="215" spans="1:9" s="108" customFormat="1">
      <c r="A215" s="105" t="s">
        <v>232</v>
      </c>
      <c r="B215" s="105" t="s">
        <v>55</v>
      </c>
      <c r="C215" s="106">
        <v>43.7</v>
      </c>
      <c r="D215" s="107">
        <v>0.2</v>
      </c>
      <c r="E215" s="105" t="s">
        <v>24</v>
      </c>
      <c r="F215" s="105" t="s">
        <v>1099</v>
      </c>
      <c r="G215" s="105"/>
      <c r="H215" s="105" t="s">
        <v>64</v>
      </c>
      <c r="I215" s="105" t="s">
        <v>212</v>
      </c>
    </row>
    <row r="216" spans="1:9" s="108" customFormat="1">
      <c r="A216" s="105" t="s">
        <v>233</v>
      </c>
      <c r="B216" s="105" t="s">
        <v>55</v>
      </c>
      <c r="C216" s="106">
        <v>33</v>
      </c>
      <c r="D216" s="107">
        <v>0.5</v>
      </c>
      <c r="E216" s="105" t="s">
        <v>24</v>
      </c>
      <c r="F216" s="105" t="s">
        <v>139</v>
      </c>
      <c r="G216" s="105"/>
      <c r="H216" s="105" t="s">
        <v>64</v>
      </c>
      <c r="I216" s="105" t="s">
        <v>212</v>
      </c>
    </row>
    <row r="217" spans="1:9" s="108" customFormat="1">
      <c r="A217" s="105" t="s">
        <v>234</v>
      </c>
      <c r="B217" s="105" t="s">
        <v>55</v>
      </c>
      <c r="C217" s="106">
        <v>41.5</v>
      </c>
      <c r="D217" s="107">
        <v>0.2</v>
      </c>
      <c r="E217" s="105" t="s">
        <v>24</v>
      </c>
      <c r="F217" s="105" t="s">
        <v>1099</v>
      </c>
      <c r="G217" s="105"/>
      <c r="H217" s="105" t="s">
        <v>64</v>
      </c>
      <c r="I217" s="105" t="s">
        <v>212</v>
      </c>
    </row>
    <row r="218" spans="1:9" s="108" customFormat="1">
      <c r="A218" s="105" t="s">
        <v>235</v>
      </c>
      <c r="B218" s="105" t="s">
        <v>55</v>
      </c>
      <c r="C218" s="106">
        <v>33</v>
      </c>
      <c r="D218" s="107">
        <v>0.5</v>
      </c>
      <c r="E218" s="105" t="s">
        <v>24</v>
      </c>
      <c r="F218" s="105" t="s">
        <v>139</v>
      </c>
      <c r="G218" s="105"/>
      <c r="H218" s="105" t="s">
        <v>64</v>
      </c>
      <c r="I218" s="105" t="s">
        <v>212</v>
      </c>
    </row>
    <row r="219" spans="1:9" s="108" customFormat="1">
      <c r="A219" s="105" t="s">
        <v>236</v>
      </c>
      <c r="B219" s="105" t="s">
        <v>55</v>
      </c>
      <c r="C219" s="106">
        <v>36.9</v>
      </c>
      <c r="D219" s="107">
        <v>0.2</v>
      </c>
      <c r="E219" s="105" t="s">
        <v>24</v>
      </c>
      <c r="F219" s="105" t="s">
        <v>1099</v>
      </c>
      <c r="G219" s="105"/>
      <c r="H219" s="105" t="s">
        <v>64</v>
      </c>
      <c r="I219" s="105" t="s">
        <v>212</v>
      </c>
    </row>
    <row r="220" spans="1:9" s="108" customFormat="1">
      <c r="A220" s="105" t="s">
        <v>237</v>
      </c>
      <c r="B220" s="105" t="s">
        <v>55</v>
      </c>
      <c r="C220" s="106">
        <v>33</v>
      </c>
      <c r="D220" s="107">
        <v>0.5</v>
      </c>
      <c r="E220" s="105" t="s">
        <v>24</v>
      </c>
      <c r="F220" s="105" t="s">
        <v>139</v>
      </c>
      <c r="G220" s="105"/>
      <c r="H220" s="105" t="s">
        <v>64</v>
      </c>
      <c r="I220" s="105" t="s">
        <v>212</v>
      </c>
    </row>
    <row r="221" spans="1:9" s="108" customFormat="1">
      <c r="A221" s="105" t="s">
        <v>238</v>
      </c>
      <c r="B221" s="105" t="s">
        <v>55</v>
      </c>
      <c r="C221" s="106">
        <v>134</v>
      </c>
      <c r="D221" s="107">
        <v>0.2</v>
      </c>
      <c r="E221" s="105" t="s">
        <v>24</v>
      </c>
      <c r="F221" s="105" t="s">
        <v>1099</v>
      </c>
      <c r="G221" s="105"/>
      <c r="H221" s="105" t="s">
        <v>64</v>
      </c>
      <c r="I221" s="105" t="s">
        <v>212</v>
      </c>
    </row>
    <row r="222" spans="1:9" s="108" customFormat="1">
      <c r="A222" s="105" t="s">
        <v>239</v>
      </c>
      <c r="B222" s="105" t="s">
        <v>55</v>
      </c>
      <c r="C222" s="106">
        <v>33</v>
      </c>
      <c r="D222" s="107">
        <v>0.5</v>
      </c>
      <c r="E222" s="105" t="s">
        <v>24</v>
      </c>
      <c r="F222" s="105" t="s">
        <v>139</v>
      </c>
      <c r="G222" s="105"/>
      <c r="H222" s="105" t="s">
        <v>64</v>
      </c>
      <c r="I222" s="105" t="s">
        <v>212</v>
      </c>
    </row>
    <row r="223" spans="1:9" ht="15.6">
      <c r="A223" s="17" t="s">
        <v>240</v>
      </c>
      <c r="B223" s="17" t="s">
        <v>55</v>
      </c>
      <c r="C223" s="58">
        <v>282.33333333333331</v>
      </c>
      <c r="D223" s="59">
        <v>0.3</v>
      </c>
      <c r="E223" s="17" t="s">
        <v>24</v>
      </c>
      <c r="F223" s="17" t="s">
        <v>141</v>
      </c>
      <c r="G223" s="17"/>
      <c r="H223" s="17" t="s">
        <v>64</v>
      </c>
      <c r="I223" s="17" t="s">
        <v>212</v>
      </c>
    </row>
    <row r="224" spans="1:9" s="108" customFormat="1">
      <c r="A224" s="105" t="s">
        <v>241</v>
      </c>
      <c r="B224" s="105" t="s">
        <v>55</v>
      </c>
      <c r="C224" s="106">
        <v>366.7</v>
      </c>
      <c r="D224" s="107"/>
      <c r="E224" s="105" t="s">
        <v>24</v>
      </c>
      <c r="F224" s="105" t="s">
        <v>1105</v>
      </c>
      <c r="G224" s="105"/>
      <c r="H224" s="105" t="s">
        <v>64</v>
      </c>
      <c r="I224" s="105" t="s">
        <v>212</v>
      </c>
    </row>
    <row r="225" spans="1:9" s="108" customFormat="1">
      <c r="A225" s="105" t="s">
        <v>242</v>
      </c>
      <c r="B225" s="105" t="s">
        <v>55</v>
      </c>
      <c r="C225" s="106">
        <v>383.63</v>
      </c>
      <c r="D225" s="107"/>
      <c r="E225" s="105" t="s">
        <v>24</v>
      </c>
      <c r="F225" s="105" t="s">
        <v>1105</v>
      </c>
      <c r="G225" s="105"/>
      <c r="H225" s="105" t="s">
        <v>64</v>
      </c>
      <c r="I225" s="105" t="s">
        <v>212</v>
      </c>
    </row>
    <row r="226" spans="1:9" s="108" customFormat="1">
      <c r="A226" s="105" t="s">
        <v>243</v>
      </c>
      <c r="B226" s="105" t="s">
        <v>55</v>
      </c>
      <c r="C226" s="106">
        <v>400.56</v>
      </c>
      <c r="D226" s="107"/>
      <c r="E226" s="105" t="s">
        <v>24</v>
      </c>
      <c r="F226" s="105" t="s">
        <v>1105</v>
      </c>
      <c r="G226" s="105"/>
      <c r="H226" s="105" t="s">
        <v>64</v>
      </c>
      <c r="I226" s="105" t="s">
        <v>212</v>
      </c>
    </row>
    <row r="227" spans="1:9" s="108" customFormat="1">
      <c r="A227" s="105" t="s">
        <v>244</v>
      </c>
      <c r="B227" s="105" t="s">
        <v>55</v>
      </c>
      <c r="C227" s="106">
        <v>417.49</v>
      </c>
      <c r="D227" s="107"/>
      <c r="E227" s="105" t="s">
        <v>24</v>
      </c>
      <c r="F227" s="105" t="s">
        <v>1105</v>
      </c>
      <c r="G227" s="105"/>
      <c r="H227" s="105" t="s">
        <v>64</v>
      </c>
      <c r="I227" s="105" t="s">
        <v>212</v>
      </c>
    </row>
    <row r="228" spans="1:9" s="108" customFormat="1">
      <c r="A228" s="105" t="s">
        <v>245</v>
      </c>
      <c r="B228" s="105" t="s">
        <v>55</v>
      </c>
      <c r="C228" s="106">
        <v>434.42</v>
      </c>
      <c r="D228" s="107"/>
      <c r="E228" s="105" t="s">
        <v>24</v>
      </c>
      <c r="F228" s="105" t="s">
        <v>1105</v>
      </c>
      <c r="G228" s="105"/>
      <c r="H228" s="105" t="s">
        <v>64</v>
      </c>
      <c r="I228" s="105" t="s">
        <v>212</v>
      </c>
    </row>
    <row r="229" spans="1:9" s="108" customFormat="1">
      <c r="A229" s="105" t="s">
        <v>246</v>
      </c>
      <c r="B229" s="105" t="s">
        <v>55</v>
      </c>
      <c r="C229" s="106">
        <v>451.35</v>
      </c>
      <c r="D229" s="107"/>
      <c r="E229" s="105" t="s">
        <v>24</v>
      </c>
      <c r="F229" s="105" t="s">
        <v>1105</v>
      </c>
      <c r="G229" s="105"/>
      <c r="H229" s="105" t="s">
        <v>64</v>
      </c>
      <c r="I229" s="105" t="s">
        <v>212</v>
      </c>
    </row>
    <row r="230" spans="1:9" s="108" customFormat="1">
      <c r="A230" s="105" t="s">
        <v>247</v>
      </c>
      <c r="B230" s="105" t="s">
        <v>55</v>
      </c>
      <c r="C230" s="106">
        <v>468.28</v>
      </c>
      <c r="D230" s="107"/>
      <c r="E230" s="105" t="s">
        <v>24</v>
      </c>
      <c r="F230" s="105" t="s">
        <v>1105</v>
      </c>
      <c r="G230" s="105"/>
      <c r="H230" s="105" t="s">
        <v>64</v>
      </c>
      <c r="I230" s="105" t="s">
        <v>212</v>
      </c>
    </row>
    <row r="231" spans="1:9" s="108" customFormat="1">
      <c r="A231" s="105" t="s">
        <v>248</v>
      </c>
      <c r="B231" s="105" t="s">
        <v>55</v>
      </c>
      <c r="C231" s="106">
        <v>485.21</v>
      </c>
      <c r="D231" s="107"/>
      <c r="E231" s="105" t="s">
        <v>24</v>
      </c>
      <c r="F231" s="105" t="s">
        <v>1105</v>
      </c>
      <c r="G231" s="105"/>
      <c r="H231" s="105" t="s">
        <v>64</v>
      </c>
      <c r="I231" s="105" t="s">
        <v>212</v>
      </c>
    </row>
    <row r="232" spans="1:9" s="108" customFormat="1">
      <c r="A232" s="105" t="s">
        <v>249</v>
      </c>
      <c r="B232" s="105" t="s">
        <v>55</v>
      </c>
      <c r="C232" s="106">
        <v>502.14</v>
      </c>
      <c r="D232" s="107"/>
      <c r="E232" s="105" t="s">
        <v>24</v>
      </c>
      <c r="F232" s="105" t="s">
        <v>1105</v>
      </c>
      <c r="G232" s="105"/>
      <c r="H232" s="105" t="s">
        <v>64</v>
      </c>
      <c r="I232" s="105" t="s">
        <v>212</v>
      </c>
    </row>
    <row r="233" spans="1:9" s="108" customFormat="1">
      <c r="A233" s="105" t="s">
        <v>250</v>
      </c>
      <c r="B233" s="105" t="s">
        <v>55</v>
      </c>
      <c r="C233" s="106">
        <v>246.99999999999997</v>
      </c>
      <c r="D233" s="107">
        <v>0.1</v>
      </c>
      <c r="E233" s="105" t="s">
        <v>24</v>
      </c>
      <c r="F233" s="105" t="s">
        <v>1258</v>
      </c>
      <c r="G233" s="105"/>
      <c r="H233" s="105" t="s">
        <v>64</v>
      </c>
      <c r="I233" s="105" t="s">
        <v>212</v>
      </c>
    </row>
    <row r="234" spans="1:9" s="108" customFormat="1">
      <c r="A234" s="105" t="s">
        <v>251</v>
      </c>
      <c r="B234" s="105" t="s">
        <v>55</v>
      </c>
      <c r="C234" s="106">
        <v>246.99999999999997</v>
      </c>
      <c r="D234" s="107">
        <v>0.1</v>
      </c>
      <c r="E234" s="105" t="s">
        <v>24</v>
      </c>
      <c r="F234" s="105" t="s">
        <v>1258</v>
      </c>
      <c r="G234" s="105"/>
      <c r="H234" s="105" t="s">
        <v>64</v>
      </c>
      <c r="I234" s="105" t="s">
        <v>212</v>
      </c>
    </row>
    <row r="235" spans="1:9" s="108" customFormat="1">
      <c r="A235" s="105" t="s">
        <v>252</v>
      </c>
      <c r="B235" s="105" t="s">
        <v>55</v>
      </c>
      <c r="C235" s="106">
        <v>246.99999999999997</v>
      </c>
      <c r="D235" s="107">
        <v>0.1</v>
      </c>
      <c r="E235" s="105" t="s">
        <v>24</v>
      </c>
      <c r="F235" s="105" t="s">
        <v>1258</v>
      </c>
      <c r="G235" s="105"/>
      <c r="H235" s="105" t="s">
        <v>64</v>
      </c>
      <c r="I235" s="105" t="s">
        <v>212</v>
      </c>
    </row>
    <row r="236" spans="1:9" s="108" customFormat="1">
      <c r="A236" s="105" t="s">
        <v>253</v>
      </c>
      <c r="B236" s="105" t="s">
        <v>55</v>
      </c>
      <c r="C236" s="106">
        <v>246.99999999999997</v>
      </c>
      <c r="D236" s="107">
        <v>0.1</v>
      </c>
      <c r="E236" s="105" t="s">
        <v>24</v>
      </c>
      <c r="F236" s="105" t="s">
        <v>1258</v>
      </c>
      <c r="G236" s="105"/>
      <c r="H236" s="105" t="s">
        <v>64</v>
      </c>
      <c r="I236" s="105" t="s">
        <v>212</v>
      </c>
    </row>
    <row r="237" spans="1:9" s="108" customFormat="1">
      <c r="A237" s="105" t="s">
        <v>254</v>
      </c>
      <c r="B237" s="105" t="s">
        <v>55</v>
      </c>
      <c r="C237" s="106">
        <v>246.99999999999997</v>
      </c>
      <c r="D237" s="107">
        <v>0.1</v>
      </c>
      <c r="E237" s="105" t="s">
        <v>24</v>
      </c>
      <c r="F237" s="105" t="s">
        <v>1258</v>
      </c>
      <c r="G237" s="105"/>
      <c r="H237" s="105" t="s">
        <v>64</v>
      </c>
      <c r="I237" s="105" t="s">
        <v>212</v>
      </c>
    </row>
    <row r="238" spans="1:9" s="108" customFormat="1">
      <c r="A238" s="105" t="s">
        <v>255</v>
      </c>
      <c r="B238" s="105" t="s">
        <v>55</v>
      </c>
      <c r="C238" s="106">
        <v>246.99999999999997</v>
      </c>
      <c r="D238" s="107">
        <v>0.1</v>
      </c>
      <c r="E238" s="105" t="s">
        <v>24</v>
      </c>
      <c r="F238" s="105" t="s">
        <v>1258</v>
      </c>
      <c r="G238" s="105"/>
      <c r="H238" s="105" t="s">
        <v>64</v>
      </c>
      <c r="I238" s="105" t="s">
        <v>212</v>
      </c>
    </row>
    <row r="239" spans="1:9" s="108" customFormat="1">
      <c r="A239" s="105" t="s">
        <v>256</v>
      </c>
      <c r="B239" s="105" t="s">
        <v>55</v>
      </c>
      <c r="C239" s="106">
        <v>246.99999999999997</v>
      </c>
      <c r="D239" s="107">
        <v>0.1</v>
      </c>
      <c r="E239" s="105" t="s">
        <v>24</v>
      </c>
      <c r="F239" s="105" t="s">
        <v>1258</v>
      </c>
      <c r="G239" s="105"/>
      <c r="H239" s="105" t="s">
        <v>64</v>
      </c>
      <c r="I239" s="105" t="s">
        <v>212</v>
      </c>
    </row>
    <row r="240" spans="1:9">
      <c r="A240" s="17" t="s">
        <v>257</v>
      </c>
      <c r="B240" s="17" t="s">
        <v>55</v>
      </c>
      <c r="C240" s="58">
        <v>29.333333333333332</v>
      </c>
      <c r="D240" s="57">
        <v>0.2</v>
      </c>
      <c r="E240" s="17" t="s">
        <v>24</v>
      </c>
      <c r="F240" s="17" t="s">
        <v>135</v>
      </c>
      <c r="G240" s="17"/>
      <c r="H240" s="17" t="s">
        <v>64</v>
      </c>
      <c r="I240" s="17" t="s">
        <v>212</v>
      </c>
    </row>
    <row r="241" spans="1:9">
      <c r="A241" s="17" t="s">
        <v>258</v>
      </c>
      <c r="B241" s="17" t="s">
        <v>55</v>
      </c>
      <c r="C241" s="58">
        <v>38</v>
      </c>
      <c r="D241" s="57">
        <v>0.1</v>
      </c>
      <c r="E241" s="17" t="s">
        <v>24</v>
      </c>
      <c r="F241" s="17" t="s">
        <v>135</v>
      </c>
      <c r="G241" s="17"/>
      <c r="H241" s="17" t="s">
        <v>64</v>
      </c>
      <c r="I241" s="17" t="s">
        <v>212</v>
      </c>
    </row>
    <row r="242" spans="1:9">
      <c r="A242" s="17" t="s">
        <v>259</v>
      </c>
      <c r="B242" s="17" t="s">
        <v>55</v>
      </c>
      <c r="C242" s="58">
        <f>C241*2.65</f>
        <v>100.7</v>
      </c>
      <c r="D242" s="57">
        <v>0.1</v>
      </c>
      <c r="E242" s="17" t="s">
        <v>24</v>
      </c>
      <c r="F242" s="17" t="s">
        <v>135</v>
      </c>
      <c r="G242" s="17"/>
      <c r="H242" s="17" t="s">
        <v>64</v>
      </c>
      <c r="I242" s="17" t="s">
        <v>212</v>
      </c>
    </row>
    <row r="243" spans="1:9">
      <c r="A243" s="17" t="s">
        <v>260</v>
      </c>
      <c r="B243" s="17" t="s">
        <v>55</v>
      </c>
      <c r="C243" s="58">
        <v>36.799999999999997</v>
      </c>
      <c r="D243" s="57">
        <v>0.1</v>
      </c>
      <c r="E243" s="17" t="s">
        <v>24</v>
      </c>
      <c r="F243" s="17" t="s">
        <v>135</v>
      </c>
      <c r="G243" s="17"/>
      <c r="H243" s="17" t="s">
        <v>64</v>
      </c>
      <c r="I243" s="17" t="s">
        <v>212</v>
      </c>
    </row>
    <row r="244" spans="1:9">
      <c r="A244" s="17" t="s">
        <v>261</v>
      </c>
      <c r="B244" s="17" t="s">
        <v>55</v>
      </c>
      <c r="C244" s="58">
        <v>35.6</v>
      </c>
      <c r="D244" s="57">
        <v>0.1</v>
      </c>
      <c r="E244" s="17" t="s">
        <v>24</v>
      </c>
      <c r="F244" s="17" t="s">
        <v>135</v>
      </c>
      <c r="G244" s="17"/>
      <c r="H244" s="17" t="s">
        <v>64</v>
      </c>
      <c r="I244" s="17" t="s">
        <v>212</v>
      </c>
    </row>
    <row r="245" spans="1:9">
      <c r="A245" s="17" t="s">
        <v>262</v>
      </c>
      <c r="B245" s="17" t="s">
        <v>55</v>
      </c>
      <c r="C245" s="58">
        <v>33.299999999999997</v>
      </c>
      <c r="D245" s="57">
        <v>0.1</v>
      </c>
      <c r="E245" s="17" t="s">
        <v>24</v>
      </c>
      <c r="F245" s="17" t="s">
        <v>135</v>
      </c>
      <c r="G245" s="17"/>
      <c r="H245" s="17" t="s">
        <v>64</v>
      </c>
      <c r="I245" s="17" t="s">
        <v>212</v>
      </c>
    </row>
    <row r="246" spans="1:9">
      <c r="A246" s="17" t="s">
        <v>263</v>
      </c>
      <c r="B246" s="17" t="s">
        <v>55</v>
      </c>
      <c r="C246" s="58">
        <v>209</v>
      </c>
      <c r="D246" s="57">
        <v>0.1</v>
      </c>
      <c r="E246" s="17" t="s">
        <v>24</v>
      </c>
      <c r="F246" s="17" t="s">
        <v>135</v>
      </c>
      <c r="G246" s="17"/>
      <c r="H246" s="17" t="s">
        <v>64</v>
      </c>
      <c r="I246" s="17" t="s">
        <v>212</v>
      </c>
    </row>
    <row r="247" spans="1:9">
      <c r="A247" s="17" t="s">
        <v>264</v>
      </c>
      <c r="B247" s="17" t="s">
        <v>55</v>
      </c>
      <c r="C247" s="58">
        <v>158.69999999999999</v>
      </c>
      <c r="D247" s="57">
        <v>0.1</v>
      </c>
      <c r="E247" s="17" t="s">
        <v>24</v>
      </c>
      <c r="F247" s="17" t="s">
        <v>135</v>
      </c>
      <c r="G247" s="17"/>
      <c r="H247" s="17" t="s">
        <v>64</v>
      </c>
      <c r="I247" s="17" t="s">
        <v>212</v>
      </c>
    </row>
    <row r="248" spans="1:9">
      <c r="A248" s="17" t="s">
        <v>265</v>
      </c>
      <c r="B248" s="17" t="s">
        <v>55</v>
      </c>
      <c r="C248" s="58">
        <v>170.80000000000004</v>
      </c>
      <c r="D248" s="57">
        <v>0.1</v>
      </c>
      <c r="E248" s="17" t="s">
        <v>24</v>
      </c>
      <c r="F248" s="17" t="s">
        <v>135</v>
      </c>
      <c r="G248" s="17"/>
      <c r="H248" s="17" t="s">
        <v>64</v>
      </c>
      <c r="I248" s="17" t="s">
        <v>212</v>
      </c>
    </row>
    <row r="249" spans="1:9">
      <c r="A249" s="17" t="s">
        <v>266</v>
      </c>
      <c r="B249" s="17" t="s">
        <v>55</v>
      </c>
      <c r="C249" s="58">
        <v>180.5</v>
      </c>
      <c r="D249" s="57">
        <v>0.1</v>
      </c>
      <c r="E249" s="17" t="s">
        <v>24</v>
      </c>
      <c r="F249" s="17" t="s">
        <v>135</v>
      </c>
      <c r="G249" s="17"/>
      <c r="H249" s="17" t="s">
        <v>64</v>
      </c>
      <c r="I249" s="17" t="s">
        <v>212</v>
      </c>
    </row>
    <row r="250" spans="1:9" s="108" customFormat="1">
      <c r="A250" s="105" t="s">
        <v>1259</v>
      </c>
      <c r="B250" s="105" t="s">
        <v>55</v>
      </c>
      <c r="C250" s="106">
        <v>202</v>
      </c>
      <c r="D250" s="107"/>
      <c r="E250" s="105" t="s">
        <v>24</v>
      </c>
      <c r="F250" s="105" t="s">
        <v>1105</v>
      </c>
      <c r="G250" s="105"/>
      <c r="H250" s="105" t="s">
        <v>64</v>
      </c>
      <c r="I250" s="105" t="s">
        <v>212</v>
      </c>
    </row>
    <row r="251" spans="1:9" s="108" customFormat="1">
      <c r="A251" s="105" t="s">
        <v>1260</v>
      </c>
      <c r="B251" s="105" t="s">
        <v>55</v>
      </c>
      <c r="C251" s="106">
        <v>212.77</v>
      </c>
      <c r="D251" s="107"/>
      <c r="E251" s="105" t="s">
        <v>24</v>
      </c>
      <c r="F251" s="105" t="s">
        <v>1105</v>
      </c>
      <c r="G251" s="105"/>
      <c r="H251" s="105" t="s">
        <v>64</v>
      </c>
      <c r="I251" s="105" t="s">
        <v>212</v>
      </c>
    </row>
    <row r="252" spans="1:9" s="108" customFormat="1">
      <c r="A252" s="105" t="s">
        <v>1261</v>
      </c>
      <c r="B252" s="105" t="s">
        <v>55</v>
      </c>
      <c r="C252" s="106">
        <v>207</v>
      </c>
      <c r="D252" s="107"/>
      <c r="E252" s="105" t="s">
        <v>24</v>
      </c>
      <c r="F252" s="105" t="s">
        <v>1105</v>
      </c>
      <c r="G252" s="105"/>
      <c r="H252" s="105" t="s">
        <v>64</v>
      </c>
      <c r="I252" s="105" t="s">
        <v>212</v>
      </c>
    </row>
    <row r="253" spans="1:9" s="108" customFormat="1">
      <c r="A253" s="105" t="s">
        <v>1262</v>
      </c>
      <c r="B253" s="105" t="s">
        <v>55</v>
      </c>
      <c r="C253" s="106">
        <v>220.2</v>
      </c>
      <c r="D253" s="107"/>
      <c r="E253" s="105" t="s">
        <v>24</v>
      </c>
      <c r="F253" s="105" t="s">
        <v>1105</v>
      </c>
      <c r="G253" s="105"/>
      <c r="H253" s="105" t="s">
        <v>64</v>
      </c>
      <c r="I253" s="105" t="s">
        <v>212</v>
      </c>
    </row>
    <row r="254" spans="1:9" s="108" customFormat="1">
      <c r="A254" s="105" t="s">
        <v>267</v>
      </c>
      <c r="B254" s="105" t="s">
        <v>55</v>
      </c>
      <c r="C254" s="106">
        <v>55.1</v>
      </c>
      <c r="D254" s="107">
        <v>0.2</v>
      </c>
      <c r="E254" s="105" t="s">
        <v>24</v>
      </c>
      <c r="F254" s="105" t="s">
        <v>1099</v>
      </c>
      <c r="G254" s="105"/>
      <c r="H254" s="105" t="s">
        <v>64</v>
      </c>
      <c r="I254" s="105" t="s">
        <v>212</v>
      </c>
    </row>
    <row r="255" spans="1:9" s="108" customFormat="1">
      <c r="A255" s="105" t="s">
        <v>268</v>
      </c>
      <c r="B255" s="105" t="s">
        <v>55</v>
      </c>
      <c r="C255" s="106">
        <v>52.8</v>
      </c>
      <c r="D255" s="107">
        <v>0.2</v>
      </c>
      <c r="E255" s="105" t="s">
        <v>24</v>
      </c>
      <c r="F255" s="105" t="s">
        <v>1099</v>
      </c>
      <c r="G255" s="105"/>
      <c r="H255" s="105" t="s">
        <v>64</v>
      </c>
      <c r="I255" s="105" t="s">
        <v>212</v>
      </c>
    </row>
    <row r="256" spans="1:9">
      <c r="A256" s="17" t="s">
        <v>269</v>
      </c>
      <c r="B256" s="17" t="s">
        <v>55</v>
      </c>
      <c r="C256" s="58">
        <v>55</v>
      </c>
      <c r="D256" s="57">
        <v>0.2</v>
      </c>
      <c r="E256" s="17" t="s">
        <v>24</v>
      </c>
      <c r="F256" s="17" t="s">
        <v>135</v>
      </c>
      <c r="G256" s="17"/>
      <c r="H256" s="17" t="s">
        <v>64</v>
      </c>
      <c r="I256" s="17" t="s">
        <v>212</v>
      </c>
    </row>
    <row r="257" spans="1:9">
      <c r="A257" s="17" t="s">
        <v>270</v>
      </c>
      <c r="B257" s="17" t="s">
        <v>55</v>
      </c>
      <c r="C257" s="58">
        <v>36.666666666666664</v>
      </c>
      <c r="D257" s="57">
        <v>0.2</v>
      </c>
      <c r="E257" s="17" t="s">
        <v>24</v>
      </c>
      <c r="F257" s="17" t="s">
        <v>135</v>
      </c>
      <c r="G257" s="17"/>
      <c r="H257" s="17" t="s">
        <v>64</v>
      </c>
      <c r="I257" s="17" t="s">
        <v>212</v>
      </c>
    </row>
    <row r="258" spans="1:9" s="108" customFormat="1">
      <c r="A258" s="105" t="s">
        <v>271</v>
      </c>
      <c r="B258" s="105" t="s">
        <v>55</v>
      </c>
      <c r="C258" s="106">
        <v>2.68</v>
      </c>
      <c r="D258" s="107"/>
      <c r="E258" s="105" t="s">
        <v>24</v>
      </c>
      <c r="F258" s="105" t="s">
        <v>1105</v>
      </c>
      <c r="G258" s="105"/>
      <c r="H258" s="105" t="s">
        <v>64</v>
      </c>
      <c r="I258" s="105" t="s">
        <v>212</v>
      </c>
    </row>
    <row r="259" spans="1:9" s="108" customFormat="1">
      <c r="A259" s="105" t="s">
        <v>1263</v>
      </c>
      <c r="B259" s="105" t="s">
        <v>55</v>
      </c>
      <c r="C259" s="106">
        <v>32.869999999999997</v>
      </c>
      <c r="D259" s="107"/>
      <c r="E259" s="105" t="s">
        <v>24</v>
      </c>
      <c r="F259" s="105" t="s">
        <v>1105</v>
      </c>
      <c r="G259" s="105"/>
      <c r="H259" s="105" t="s">
        <v>64</v>
      </c>
      <c r="I259" s="105" t="s">
        <v>212</v>
      </c>
    </row>
    <row r="260" spans="1:9">
      <c r="A260" s="17" t="s">
        <v>272</v>
      </c>
      <c r="B260" s="17" t="s">
        <v>55</v>
      </c>
      <c r="C260" s="58">
        <v>32.300000000000004</v>
      </c>
      <c r="D260" s="57">
        <v>0.1</v>
      </c>
      <c r="E260" s="17" t="s">
        <v>24</v>
      </c>
      <c r="F260" s="17" t="s">
        <v>135</v>
      </c>
      <c r="G260" s="17"/>
      <c r="H260" s="17" t="s">
        <v>64</v>
      </c>
      <c r="I260" s="17" t="s">
        <v>212</v>
      </c>
    </row>
    <row r="261" spans="1:9">
      <c r="A261" s="17" t="s">
        <v>273</v>
      </c>
      <c r="B261" s="17" t="s">
        <v>55</v>
      </c>
      <c r="C261" s="58">
        <v>31.1</v>
      </c>
      <c r="D261" s="57">
        <v>0.1</v>
      </c>
      <c r="E261" s="17" t="s">
        <v>24</v>
      </c>
      <c r="F261" s="17" t="s">
        <v>135</v>
      </c>
      <c r="G261" s="17"/>
      <c r="H261" s="17" t="s">
        <v>64</v>
      </c>
      <c r="I261" s="17" t="s">
        <v>212</v>
      </c>
    </row>
    <row r="262" spans="1:9">
      <c r="A262" s="17" t="s">
        <v>274</v>
      </c>
      <c r="B262" s="17" t="s">
        <v>55</v>
      </c>
      <c r="C262" s="58">
        <v>28.7</v>
      </c>
      <c r="D262" s="57">
        <v>0.1</v>
      </c>
      <c r="E262" s="17" t="s">
        <v>24</v>
      </c>
      <c r="F262" s="17" t="s">
        <v>135</v>
      </c>
      <c r="G262" s="17"/>
      <c r="H262" s="17" t="s">
        <v>64</v>
      </c>
      <c r="I262" s="17" t="s">
        <v>212</v>
      </c>
    </row>
    <row r="263" spans="1:9" s="108" customFormat="1">
      <c r="A263" s="105" t="s">
        <v>275</v>
      </c>
      <c r="B263" s="105" t="s">
        <v>55</v>
      </c>
      <c r="C263" s="106">
        <v>2.68</v>
      </c>
      <c r="D263" s="107"/>
      <c r="E263" s="105" t="s">
        <v>24</v>
      </c>
      <c r="F263" s="105" t="s">
        <v>1105</v>
      </c>
      <c r="G263" s="105"/>
      <c r="H263" s="105" t="s">
        <v>64</v>
      </c>
      <c r="I263" s="105" t="s">
        <v>212</v>
      </c>
    </row>
    <row r="264" spans="1:9" s="108" customFormat="1" ht="15.6">
      <c r="A264" s="105" t="s">
        <v>65</v>
      </c>
      <c r="B264" s="105" t="s">
        <v>44</v>
      </c>
      <c r="C264" s="106">
        <f>C263*1.7</f>
        <v>4.556</v>
      </c>
      <c r="D264" s="109">
        <v>0.3</v>
      </c>
      <c r="E264" s="105" t="s">
        <v>24</v>
      </c>
      <c r="F264" s="105" t="s">
        <v>1246</v>
      </c>
      <c r="G264" s="105" t="s">
        <v>1264</v>
      </c>
      <c r="H264" s="105" t="s">
        <v>64</v>
      </c>
      <c r="I264" s="105" t="s">
        <v>212</v>
      </c>
    </row>
    <row r="265" spans="1:9" s="108" customFormat="1">
      <c r="A265" s="105" t="s">
        <v>277</v>
      </c>
      <c r="B265" s="105" t="s">
        <v>55</v>
      </c>
      <c r="C265" s="106">
        <v>1.5</v>
      </c>
      <c r="D265" s="107"/>
      <c r="E265" s="105" t="s">
        <v>24</v>
      </c>
      <c r="F265" s="105" t="s">
        <v>1105</v>
      </c>
      <c r="G265" s="105" t="s">
        <v>1265</v>
      </c>
      <c r="H265" s="105" t="s">
        <v>64</v>
      </c>
      <c r="I265" s="105" t="s">
        <v>212</v>
      </c>
    </row>
    <row r="266" spans="1:9" s="108" customFormat="1">
      <c r="A266" s="105" t="s">
        <v>278</v>
      </c>
      <c r="B266" s="105" t="s">
        <v>55</v>
      </c>
      <c r="C266" s="106">
        <v>2.68</v>
      </c>
      <c r="D266" s="107"/>
      <c r="E266" s="105" t="s">
        <v>24</v>
      </c>
      <c r="F266" s="105" t="s">
        <v>1105</v>
      </c>
      <c r="G266" s="105"/>
      <c r="H266" s="105" t="s">
        <v>64</v>
      </c>
      <c r="I266" s="105" t="s">
        <v>212</v>
      </c>
    </row>
    <row r="267" spans="1:9" s="108" customFormat="1">
      <c r="A267" s="105" t="s">
        <v>279</v>
      </c>
      <c r="B267" s="105" t="s">
        <v>55</v>
      </c>
      <c r="C267" s="106">
        <v>1.5</v>
      </c>
      <c r="D267" s="107"/>
      <c r="E267" s="105" t="s">
        <v>24</v>
      </c>
      <c r="F267" s="105" t="s">
        <v>1105</v>
      </c>
      <c r="G267" s="105" t="s">
        <v>1265</v>
      </c>
      <c r="H267" s="105" t="s">
        <v>64</v>
      </c>
      <c r="I267" s="105" t="s">
        <v>212</v>
      </c>
    </row>
    <row r="268" spans="1:9" s="108" customFormat="1">
      <c r="A268" s="105" t="s">
        <v>280</v>
      </c>
      <c r="B268" s="105" t="s">
        <v>55</v>
      </c>
      <c r="C268" s="106">
        <v>1.5</v>
      </c>
      <c r="D268" s="107"/>
      <c r="E268" s="105" t="s">
        <v>24</v>
      </c>
      <c r="F268" s="105" t="s">
        <v>1105</v>
      </c>
      <c r="G268" s="105"/>
      <c r="H268" s="105" t="s">
        <v>64</v>
      </c>
      <c r="I268" s="105" t="s">
        <v>212</v>
      </c>
    </row>
    <row r="269" spans="1:9">
      <c r="A269" s="17" t="s">
        <v>66</v>
      </c>
      <c r="B269" s="17" t="s">
        <v>55</v>
      </c>
      <c r="C269" s="58">
        <v>11</v>
      </c>
      <c r="D269" s="57">
        <v>0.3</v>
      </c>
      <c r="E269" s="17" t="s">
        <v>24</v>
      </c>
      <c r="F269" s="17" t="s">
        <v>135</v>
      </c>
      <c r="G269" s="17"/>
      <c r="H269" s="17" t="s">
        <v>64</v>
      </c>
      <c r="I269" s="17" t="s">
        <v>212</v>
      </c>
    </row>
    <row r="270" spans="1:9" s="108" customFormat="1">
      <c r="A270" s="105" t="s">
        <v>68</v>
      </c>
      <c r="B270" s="105" t="s">
        <v>55</v>
      </c>
      <c r="C270" s="106">
        <v>46.5</v>
      </c>
      <c r="D270" s="107">
        <v>0.2</v>
      </c>
      <c r="E270" s="105" t="s">
        <v>24</v>
      </c>
      <c r="F270" s="105" t="s">
        <v>1099</v>
      </c>
      <c r="G270" s="105"/>
      <c r="H270" s="105" t="s">
        <v>64</v>
      </c>
      <c r="I270" s="105" t="s">
        <v>212</v>
      </c>
    </row>
    <row r="271" spans="1:9" s="108" customFormat="1">
      <c r="A271" s="105" t="s">
        <v>281</v>
      </c>
      <c r="B271" s="105" t="s">
        <v>44</v>
      </c>
      <c r="C271" s="106">
        <f>C270*2.65</f>
        <v>123.22499999999999</v>
      </c>
      <c r="D271" s="107">
        <v>0.2</v>
      </c>
      <c r="E271" s="105" t="s">
        <v>24</v>
      </c>
      <c r="F271" s="105" t="s">
        <v>1099</v>
      </c>
      <c r="G271" s="105"/>
      <c r="H271" s="105" t="s">
        <v>64</v>
      </c>
      <c r="I271" s="105" t="s">
        <v>212</v>
      </c>
    </row>
    <row r="272" spans="1:9" s="108" customFormat="1">
      <c r="A272" s="105" t="s">
        <v>282</v>
      </c>
      <c r="B272" s="105" t="s">
        <v>55</v>
      </c>
      <c r="C272" s="106">
        <v>51.6</v>
      </c>
      <c r="D272" s="107">
        <v>0.2</v>
      </c>
      <c r="E272" s="105" t="s">
        <v>24</v>
      </c>
      <c r="F272" s="105" t="s">
        <v>1099</v>
      </c>
      <c r="G272" s="105"/>
      <c r="H272" s="105" t="s">
        <v>64</v>
      </c>
      <c r="I272" s="105" t="s">
        <v>212</v>
      </c>
    </row>
    <row r="273" spans="1:9" s="108" customFormat="1">
      <c r="A273" s="105" t="s">
        <v>283</v>
      </c>
      <c r="B273" s="105" t="s">
        <v>55</v>
      </c>
      <c r="C273" s="106">
        <v>51.6</v>
      </c>
      <c r="D273" s="107">
        <v>0.2</v>
      </c>
      <c r="E273" s="105" t="s">
        <v>24</v>
      </c>
      <c r="F273" s="105" t="s">
        <v>1099</v>
      </c>
      <c r="G273" s="105"/>
      <c r="H273" s="105" t="s">
        <v>64</v>
      </c>
      <c r="I273" s="105" t="s">
        <v>212</v>
      </c>
    </row>
    <row r="274" spans="1:9" s="108" customFormat="1">
      <c r="A274" s="105" t="s">
        <v>284</v>
      </c>
      <c r="B274" s="105" t="s">
        <v>55</v>
      </c>
      <c r="C274" s="106">
        <v>30.2</v>
      </c>
      <c r="D274" s="107">
        <v>0.2</v>
      </c>
      <c r="E274" s="105" t="s">
        <v>24</v>
      </c>
      <c r="F274" s="105" t="s">
        <v>1099</v>
      </c>
      <c r="G274" s="105"/>
      <c r="H274" s="105" t="s">
        <v>64</v>
      </c>
      <c r="I274" s="105" t="s">
        <v>212</v>
      </c>
    </row>
    <row r="275" spans="1:9">
      <c r="A275" s="17" t="s">
        <v>285</v>
      </c>
      <c r="B275" s="17" t="s">
        <v>55</v>
      </c>
      <c r="C275" s="58">
        <v>22</v>
      </c>
      <c r="D275" s="57">
        <v>0.2</v>
      </c>
      <c r="E275" s="17" t="s">
        <v>24</v>
      </c>
      <c r="F275" s="17" t="s">
        <v>135</v>
      </c>
      <c r="G275" s="17"/>
      <c r="H275" s="17" t="s">
        <v>64</v>
      </c>
      <c r="I275" s="17" t="s">
        <v>212</v>
      </c>
    </row>
    <row r="276" spans="1:9">
      <c r="A276" s="17" t="s">
        <v>286</v>
      </c>
      <c r="B276" s="17" t="s">
        <v>55</v>
      </c>
      <c r="C276" s="58">
        <v>34.833333333333329</v>
      </c>
      <c r="D276" s="57">
        <v>0.3</v>
      </c>
      <c r="E276" s="17" t="s">
        <v>24</v>
      </c>
      <c r="F276" s="17" t="s">
        <v>135</v>
      </c>
      <c r="G276" s="17"/>
      <c r="H276" s="17" t="s">
        <v>64</v>
      </c>
      <c r="I276" s="17" t="s">
        <v>212</v>
      </c>
    </row>
    <row r="277" spans="1:9" s="108" customFormat="1">
      <c r="A277" s="105" t="s">
        <v>287</v>
      </c>
      <c r="B277" s="105" t="s">
        <v>55</v>
      </c>
      <c r="C277" s="106">
        <v>20.599999999999998</v>
      </c>
      <c r="D277" s="107">
        <v>0.2</v>
      </c>
      <c r="E277" s="105" t="s">
        <v>24</v>
      </c>
      <c r="F277" s="105" t="s">
        <v>1099</v>
      </c>
      <c r="G277" s="105"/>
      <c r="H277" s="105" t="s">
        <v>64</v>
      </c>
      <c r="I277" s="105" t="s">
        <v>212</v>
      </c>
    </row>
    <row r="278" spans="1:9" s="108" customFormat="1">
      <c r="A278" s="105" t="s">
        <v>288</v>
      </c>
      <c r="B278" s="105" t="s">
        <v>55</v>
      </c>
      <c r="C278" s="106">
        <v>21.599999999999998</v>
      </c>
      <c r="D278" s="107">
        <v>0.2</v>
      </c>
      <c r="E278" s="105" t="s">
        <v>24</v>
      </c>
      <c r="F278" s="105" t="s">
        <v>1099</v>
      </c>
      <c r="G278" s="105"/>
      <c r="H278" s="105" t="s">
        <v>64</v>
      </c>
      <c r="I278" s="105" t="s">
        <v>212</v>
      </c>
    </row>
    <row r="279" spans="1:9" s="108" customFormat="1">
      <c r="A279" s="105" t="s">
        <v>289</v>
      </c>
      <c r="B279" s="105" t="s">
        <v>55</v>
      </c>
      <c r="C279" s="106">
        <v>14.5</v>
      </c>
      <c r="D279" s="107">
        <v>0.2</v>
      </c>
      <c r="E279" s="105" t="s">
        <v>24</v>
      </c>
      <c r="F279" s="105" t="s">
        <v>1099</v>
      </c>
      <c r="G279" s="105"/>
      <c r="H279" s="105" t="s">
        <v>64</v>
      </c>
      <c r="I279" s="105" t="s">
        <v>212</v>
      </c>
    </row>
    <row r="280" spans="1:9" s="108" customFormat="1">
      <c r="A280" s="105" t="s">
        <v>290</v>
      </c>
      <c r="B280" s="105" t="s">
        <v>55</v>
      </c>
      <c r="C280" s="106">
        <v>2.68</v>
      </c>
      <c r="D280" s="107"/>
      <c r="E280" s="105" t="s">
        <v>24</v>
      </c>
      <c r="F280" s="105" t="s">
        <v>1105</v>
      </c>
      <c r="G280" s="105"/>
      <c r="H280" s="105" t="s">
        <v>64</v>
      </c>
      <c r="I280" s="105" t="s">
        <v>212</v>
      </c>
    </row>
    <row r="281" spans="1:9">
      <c r="A281" s="17" t="s">
        <v>291</v>
      </c>
      <c r="B281" s="17" t="s">
        <v>55</v>
      </c>
      <c r="C281" s="58">
        <v>11</v>
      </c>
      <c r="D281" s="57">
        <v>0.3</v>
      </c>
      <c r="E281" s="17" t="s">
        <v>24</v>
      </c>
      <c r="F281" s="17" t="s">
        <v>135</v>
      </c>
      <c r="G281" s="17"/>
      <c r="H281" s="17" t="s">
        <v>64</v>
      </c>
      <c r="I281" s="17" t="s">
        <v>212</v>
      </c>
    </row>
    <row r="282" spans="1:9" s="108" customFormat="1">
      <c r="A282" s="105" t="s">
        <v>292</v>
      </c>
      <c r="B282" s="105" t="s">
        <v>55</v>
      </c>
      <c r="C282" s="106">
        <v>2.68</v>
      </c>
      <c r="D282" s="107"/>
      <c r="E282" s="105" t="s">
        <v>24</v>
      </c>
      <c r="F282" s="105" t="s">
        <v>1105</v>
      </c>
      <c r="G282" s="105"/>
      <c r="H282" s="105" t="s">
        <v>64</v>
      </c>
      <c r="I282" s="105" t="s">
        <v>212</v>
      </c>
    </row>
    <row r="283" spans="1:9" s="108" customFormat="1">
      <c r="A283" s="105" t="s">
        <v>1266</v>
      </c>
      <c r="B283" s="105" t="s">
        <v>55</v>
      </c>
      <c r="C283" s="106">
        <v>96.1</v>
      </c>
      <c r="D283" s="107"/>
      <c r="E283" s="105" t="s">
        <v>24</v>
      </c>
      <c r="F283" s="105" t="s">
        <v>1105</v>
      </c>
      <c r="G283" s="105"/>
      <c r="H283" s="105" t="s">
        <v>64</v>
      </c>
      <c r="I283" s="105" t="s">
        <v>212</v>
      </c>
    </row>
    <row r="284" spans="1:9" s="108" customFormat="1">
      <c r="A284" s="105" t="s">
        <v>1267</v>
      </c>
      <c r="B284" s="105" t="s">
        <v>55</v>
      </c>
      <c r="C284" s="106">
        <v>245.1</v>
      </c>
      <c r="D284" s="107"/>
      <c r="E284" s="105" t="s">
        <v>24</v>
      </c>
      <c r="F284" s="105" t="s">
        <v>1105</v>
      </c>
      <c r="G284" s="105"/>
      <c r="H284" s="105" t="s">
        <v>64</v>
      </c>
      <c r="I284" s="105" t="s">
        <v>212</v>
      </c>
    </row>
    <row r="285" spans="1:9" s="108" customFormat="1">
      <c r="A285" s="105" t="s">
        <v>1268</v>
      </c>
      <c r="B285" s="105" t="s">
        <v>55</v>
      </c>
      <c r="C285" s="106">
        <v>543.1</v>
      </c>
      <c r="D285" s="107"/>
      <c r="E285" s="105" t="s">
        <v>24</v>
      </c>
      <c r="F285" s="105" t="s">
        <v>1105</v>
      </c>
      <c r="G285" s="105"/>
      <c r="H285" s="105" t="s">
        <v>64</v>
      </c>
      <c r="I285" s="105" t="s">
        <v>212</v>
      </c>
    </row>
    <row r="286" spans="1:9" s="108" customFormat="1">
      <c r="A286" s="105" t="s">
        <v>1269</v>
      </c>
      <c r="B286" s="105" t="s">
        <v>55</v>
      </c>
      <c r="C286" s="106">
        <v>646</v>
      </c>
      <c r="D286" s="107"/>
      <c r="E286" s="105" t="s">
        <v>24</v>
      </c>
      <c r="F286" s="105" t="s">
        <v>1270</v>
      </c>
      <c r="G286" s="105" t="s">
        <v>1271</v>
      </c>
      <c r="H286" s="105" t="s">
        <v>64</v>
      </c>
      <c r="I286" s="105" t="s">
        <v>212</v>
      </c>
    </row>
    <row r="287" spans="1:9" s="108" customFormat="1">
      <c r="A287" s="105" t="s">
        <v>1272</v>
      </c>
      <c r="B287" s="105" t="s">
        <v>55</v>
      </c>
      <c r="C287" s="106">
        <v>643</v>
      </c>
      <c r="D287" s="107"/>
      <c r="E287" s="105" t="s">
        <v>24</v>
      </c>
      <c r="F287" s="105" t="s">
        <v>1270</v>
      </c>
      <c r="G287" s="105" t="s">
        <v>1273</v>
      </c>
      <c r="H287" s="105" t="s">
        <v>64</v>
      </c>
      <c r="I287" s="105" t="s">
        <v>212</v>
      </c>
    </row>
    <row r="288" spans="1:9" s="108" customFormat="1">
      <c r="A288" s="105" t="s">
        <v>1274</v>
      </c>
      <c r="B288" s="105" t="s">
        <v>55</v>
      </c>
      <c r="C288" s="106">
        <v>612</v>
      </c>
      <c r="D288" s="107"/>
      <c r="E288" s="105" t="s">
        <v>24</v>
      </c>
      <c r="F288" s="105" t="s">
        <v>1270</v>
      </c>
      <c r="G288" s="105" t="s">
        <v>1275</v>
      </c>
      <c r="H288" s="105" t="s">
        <v>64</v>
      </c>
      <c r="I288" s="105" t="s">
        <v>212</v>
      </c>
    </row>
    <row r="289" spans="1:9" s="108" customFormat="1">
      <c r="A289" s="105" t="s">
        <v>1276</v>
      </c>
      <c r="B289" s="105" t="s">
        <v>55</v>
      </c>
      <c r="C289" s="106">
        <v>693</v>
      </c>
      <c r="D289" s="107"/>
      <c r="E289" s="105" t="s">
        <v>24</v>
      </c>
      <c r="F289" s="105" t="s">
        <v>1270</v>
      </c>
      <c r="G289" s="105" t="s">
        <v>1277</v>
      </c>
      <c r="H289" s="105" t="s">
        <v>64</v>
      </c>
      <c r="I289" s="105" t="s">
        <v>212</v>
      </c>
    </row>
    <row r="290" spans="1:9" s="108" customFormat="1">
      <c r="A290" s="105" t="s">
        <v>1278</v>
      </c>
      <c r="B290" s="105" t="s">
        <v>55</v>
      </c>
      <c r="C290" s="106">
        <v>612</v>
      </c>
      <c r="D290" s="107"/>
      <c r="E290" s="105" t="s">
        <v>24</v>
      </c>
      <c r="F290" s="105" t="s">
        <v>1270</v>
      </c>
      <c r="G290" s="105" t="s">
        <v>1279</v>
      </c>
      <c r="H290" s="105" t="s">
        <v>64</v>
      </c>
      <c r="I290" s="105" t="s">
        <v>212</v>
      </c>
    </row>
    <row r="291" spans="1:9" s="108" customFormat="1">
      <c r="A291" s="105" t="s">
        <v>1280</v>
      </c>
      <c r="B291" s="105" t="s">
        <v>55</v>
      </c>
      <c r="C291" s="106">
        <v>531</v>
      </c>
      <c r="D291" s="107"/>
      <c r="E291" s="105" t="s">
        <v>24</v>
      </c>
      <c r="F291" s="105" t="s">
        <v>1270</v>
      </c>
      <c r="G291" s="105" t="s">
        <v>1281</v>
      </c>
      <c r="H291" s="105" t="s">
        <v>64</v>
      </c>
      <c r="I291" s="105" t="s">
        <v>212</v>
      </c>
    </row>
    <row r="292" spans="1:9" s="108" customFormat="1">
      <c r="A292" s="105" t="s">
        <v>1282</v>
      </c>
      <c r="B292" s="105" t="s">
        <v>55</v>
      </c>
      <c r="C292" s="106">
        <v>450</v>
      </c>
      <c r="D292" s="107"/>
      <c r="E292" s="105" t="s">
        <v>24</v>
      </c>
      <c r="F292" s="105" t="s">
        <v>1270</v>
      </c>
      <c r="G292" s="105" t="s">
        <v>1283</v>
      </c>
      <c r="H292" s="105" t="s">
        <v>64</v>
      </c>
      <c r="I292" s="105" t="s">
        <v>212</v>
      </c>
    </row>
    <row r="293" spans="1:9" s="108" customFormat="1">
      <c r="A293" s="105" t="s">
        <v>1284</v>
      </c>
      <c r="B293" s="105" t="s">
        <v>55</v>
      </c>
      <c r="C293" s="106">
        <v>463</v>
      </c>
      <c r="D293" s="107"/>
      <c r="E293" s="105" t="s">
        <v>24</v>
      </c>
      <c r="F293" s="105" t="s">
        <v>1270</v>
      </c>
      <c r="G293" s="105" t="s">
        <v>1285</v>
      </c>
      <c r="H293" s="105" t="s">
        <v>64</v>
      </c>
      <c r="I293" s="105" t="s">
        <v>212</v>
      </c>
    </row>
    <row r="294" spans="1:9" s="108" customFormat="1">
      <c r="A294" s="105" t="s">
        <v>1286</v>
      </c>
      <c r="B294" s="105" t="s">
        <v>55</v>
      </c>
      <c r="C294" s="106">
        <v>199</v>
      </c>
      <c r="D294" s="107"/>
      <c r="E294" s="105" t="s">
        <v>24</v>
      </c>
      <c r="F294" s="105" t="s">
        <v>1270</v>
      </c>
      <c r="G294" s="105" t="s">
        <v>1287</v>
      </c>
      <c r="H294" s="105" t="s">
        <v>64</v>
      </c>
      <c r="I294" s="105" t="s">
        <v>212</v>
      </c>
    </row>
    <row r="295" spans="1:9" s="108" customFormat="1">
      <c r="A295" s="105" t="s">
        <v>1288</v>
      </c>
      <c r="B295" s="105" t="s">
        <v>55</v>
      </c>
      <c r="C295" s="106">
        <v>462</v>
      </c>
      <c r="D295" s="107"/>
      <c r="E295" s="105" t="s">
        <v>24</v>
      </c>
      <c r="F295" s="105" t="s">
        <v>1270</v>
      </c>
      <c r="G295" s="105" t="s">
        <v>1289</v>
      </c>
      <c r="H295" s="105" t="s">
        <v>64</v>
      </c>
      <c r="I295" s="105" t="s">
        <v>212</v>
      </c>
    </row>
    <row r="296" spans="1:9" s="108" customFormat="1">
      <c r="A296" s="105" t="s">
        <v>1290</v>
      </c>
      <c r="B296" s="105" t="s">
        <v>55</v>
      </c>
      <c r="C296" s="106">
        <v>575</v>
      </c>
      <c r="D296" s="107"/>
      <c r="E296" s="105" t="s">
        <v>24</v>
      </c>
      <c r="F296" s="105" t="s">
        <v>1270</v>
      </c>
      <c r="G296" s="105" t="s">
        <v>1291</v>
      </c>
      <c r="H296" s="105" t="s">
        <v>64</v>
      </c>
      <c r="I296" s="105" t="s">
        <v>212</v>
      </c>
    </row>
    <row r="297" spans="1:9" s="108" customFormat="1">
      <c r="A297" s="105" t="s">
        <v>1292</v>
      </c>
      <c r="B297" s="105" t="s">
        <v>55</v>
      </c>
      <c r="C297" s="106">
        <v>694</v>
      </c>
      <c r="D297" s="107"/>
      <c r="E297" s="105" t="s">
        <v>24</v>
      </c>
      <c r="F297" s="105" t="s">
        <v>1270</v>
      </c>
      <c r="G297" s="105" t="s">
        <v>1293</v>
      </c>
      <c r="H297" s="105" t="s">
        <v>64</v>
      </c>
      <c r="I297" s="105" t="s">
        <v>212</v>
      </c>
    </row>
    <row r="298" spans="1:9" s="108" customFormat="1">
      <c r="A298" s="105" t="s">
        <v>1294</v>
      </c>
      <c r="B298" s="105" t="s">
        <v>55</v>
      </c>
      <c r="C298" s="106">
        <v>534</v>
      </c>
      <c r="D298" s="107"/>
      <c r="E298" s="105" t="s">
        <v>24</v>
      </c>
      <c r="F298" s="105" t="s">
        <v>1270</v>
      </c>
      <c r="G298" s="105" t="s">
        <v>1295</v>
      </c>
      <c r="H298" s="105" t="s">
        <v>64</v>
      </c>
      <c r="I298" s="105" t="s">
        <v>212</v>
      </c>
    </row>
    <row r="299" spans="1:9" s="108" customFormat="1">
      <c r="A299" s="105" t="s">
        <v>1296</v>
      </c>
      <c r="B299" s="105" t="s">
        <v>55</v>
      </c>
      <c r="C299" s="106">
        <v>373</v>
      </c>
      <c r="D299" s="107"/>
      <c r="E299" s="105" t="s">
        <v>24</v>
      </c>
      <c r="F299" s="105" t="s">
        <v>1270</v>
      </c>
      <c r="G299" s="105" t="s">
        <v>1297</v>
      </c>
      <c r="H299" s="105" t="s">
        <v>64</v>
      </c>
      <c r="I299" s="105" t="s">
        <v>212</v>
      </c>
    </row>
    <row r="300" spans="1:9" s="108" customFormat="1">
      <c r="A300" s="105" t="s">
        <v>1298</v>
      </c>
      <c r="B300" s="105" t="s">
        <v>55</v>
      </c>
      <c r="C300" s="106">
        <v>395</v>
      </c>
      <c r="D300" s="107"/>
      <c r="E300" s="105" t="s">
        <v>24</v>
      </c>
      <c r="F300" s="105" t="s">
        <v>1270</v>
      </c>
      <c r="G300" s="105" t="s">
        <v>1299</v>
      </c>
      <c r="H300" s="105" t="s">
        <v>64</v>
      </c>
      <c r="I300" s="105" t="s">
        <v>212</v>
      </c>
    </row>
    <row r="301" spans="1:9" s="108" customFormat="1">
      <c r="A301" s="105" t="s">
        <v>1300</v>
      </c>
      <c r="B301" s="105" t="s">
        <v>55</v>
      </c>
      <c r="C301" s="106">
        <v>320</v>
      </c>
      <c r="D301" s="107"/>
      <c r="E301" s="105" t="s">
        <v>24</v>
      </c>
      <c r="F301" s="105" t="s">
        <v>1270</v>
      </c>
      <c r="G301" s="105" t="s">
        <v>1301</v>
      </c>
      <c r="H301" s="105" t="s">
        <v>64</v>
      </c>
      <c r="I301" s="105" t="s">
        <v>212</v>
      </c>
    </row>
    <row r="302" spans="1:9" s="108" customFormat="1">
      <c r="A302" s="105" t="s">
        <v>1302</v>
      </c>
      <c r="B302" s="105" t="s">
        <v>55</v>
      </c>
      <c r="C302" s="106">
        <v>244</v>
      </c>
      <c r="D302" s="107"/>
      <c r="E302" s="105" t="s">
        <v>24</v>
      </c>
      <c r="F302" s="105" t="s">
        <v>1270</v>
      </c>
      <c r="G302" s="105" t="s">
        <v>1303</v>
      </c>
      <c r="H302" s="105" t="s">
        <v>64</v>
      </c>
      <c r="I302" s="105" t="s">
        <v>212</v>
      </c>
    </row>
    <row r="303" spans="1:9" s="108" customFormat="1">
      <c r="A303" s="105" t="s">
        <v>1304</v>
      </c>
      <c r="B303" s="105" t="s">
        <v>55</v>
      </c>
      <c r="C303" s="106">
        <v>168</v>
      </c>
      <c r="D303" s="107"/>
      <c r="E303" s="105" t="s">
        <v>24</v>
      </c>
      <c r="F303" s="105" t="s">
        <v>1270</v>
      </c>
      <c r="G303" s="105" t="s">
        <v>1305</v>
      </c>
      <c r="H303" s="105" t="s">
        <v>64</v>
      </c>
      <c r="I303" s="105" t="s">
        <v>212</v>
      </c>
    </row>
    <row r="304" spans="1:9" s="108" customFormat="1">
      <c r="A304" s="105" t="s">
        <v>1306</v>
      </c>
      <c r="B304" s="105" t="s">
        <v>55</v>
      </c>
      <c r="C304" s="106">
        <v>92</v>
      </c>
      <c r="D304" s="107"/>
      <c r="E304" s="105" t="s">
        <v>24</v>
      </c>
      <c r="F304" s="105" t="s">
        <v>1270</v>
      </c>
      <c r="G304" s="105" t="s">
        <v>1307</v>
      </c>
      <c r="H304" s="105" t="s">
        <v>64</v>
      </c>
      <c r="I304" s="105" t="s">
        <v>212</v>
      </c>
    </row>
    <row r="305" spans="1:9" ht="15.6">
      <c r="A305" s="17" t="s">
        <v>293</v>
      </c>
      <c r="B305" s="17" t="s">
        <v>74</v>
      </c>
      <c r="C305" s="58">
        <v>0.20863000000000001</v>
      </c>
      <c r="D305" s="59">
        <v>0.3</v>
      </c>
      <c r="E305" s="17" t="s">
        <v>24</v>
      </c>
      <c r="F305" s="17" t="s">
        <v>140</v>
      </c>
      <c r="G305" s="17"/>
      <c r="H305" s="17" t="s">
        <v>64</v>
      </c>
      <c r="I305" s="17" t="s">
        <v>212</v>
      </c>
    </row>
    <row r="306" spans="1:9" s="108" customFormat="1">
      <c r="A306" s="105" t="s">
        <v>294</v>
      </c>
      <c r="B306" s="105" t="s">
        <v>55</v>
      </c>
      <c r="C306" s="106">
        <v>224.3</v>
      </c>
      <c r="D306" s="107">
        <v>0.1</v>
      </c>
      <c r="E306" s="105" t="s">
        <v>24</v>
      </c>
      <c r="F306" s="105" t="s">
        <v>1105</v>
      </c>
      <c r="G306" s="105"/>
      <c r="H306" s="105" t="s">
        <v>64</v>
      </c>
      <c r="I306" s="105" t="s">
        <v>212</v>
      </c>
    </row>
    <row r="307" spans="1:9" s="108" customFormat="1">
      <c r="A307" s="105" t="s">
        <v>295</v>
      </c>
      <c r="B307" s="105" t="s">
        <v>55</v>
      </c>
      <c r="C307" s="106">
        <v>42</v>
      </c>
      <c r="D307" s="107">
        <v>0.2</v>
      </c>
      <c r="E307" s="105" t="s">
        <v>24</v>
      </c>
      <c r="F307" s="105" t="s">
        <v>1099</v>
      </c>
      <c r="G307" s="105"/>
      <c r="H307" s="105" t="s">
        <v>64</v>
      </c>
      <c r="I307" s="105" t="s">
        <v>212</v>
      </c>
    </row>
    <row r="308" spans="1:9" s="108" customFormat="1">
      <c r="A308" s="105" t="s">
        <v>296</v>
      </c>
      <c r="B308" s="105" t="s">
        <v>55</v>
      </c>
      <c r="C308" s="106">
        <v>10.5</v>
      </c>
      <c r="D308" s="107">
        <v>0.2</v>
      </c>
      <c r="E308" s="105" t="s">
        <v>24</v>
      </c>
      <c r="F308" s="105" t="s">
        <v>1099</v>
      </c>
      <c r="G308" s="105"/>
      <c r="H308" s="105" t="s">
        <v>64</v>
      </c>
      <c r="I308" s="105" t="s">
        <v>212</v>
      </c>
    </row>
    <row r="309" spans="1:9">
      <c r="A309" s="17" t="s">
        <v>297</v>
      </c>
      <c r="B309" s="17" t="s">
        <v>55</v>
      </c>
      <c r="C309" s="58">
        <v>40.333333333333329</v>
      </c>
      <c r="D309" s="57">
        <v>0.1</v>
      </c>
      <c r="E309" s="17" t="s">
        <v>24</v>
      </c>
      <c r="F309" s="17" t="s">
        <v>135</v>
      </c>
      <c r="G309" s="17"/>
      <c r="H309" s="17" t="s">
        <v>64</v>
      </c>
      <c r="I309" s="17" t="s">
        <v>212</v>
      </c>
    </row>
    <row r="310" spans="1:9">
      <c r="A310" s="17" t="s">
        <v>298</v>
      </c>
      <c r="B310" s="17" t="s">
        <v>55</v>
      </c>
      <c r="C310" s="58">
        <v>58.666666666666664</v>
      </c>
      <c r="D310" s="57">
        <v>0.1</v>
      </c>
      <c r="E310" s="17" t="s">
        <v>24</v>
      </c>
      <c r="F310" s="17" t="s">
        <v>135</v>
      </c>
      <c r="G310" s="17"/>
      <c r="H310" s="17" t="s">
        <v>64</v>
      </c>
      <c r="I310" s="17" t="s">
        <v>212</v>
      </c>
    </row>
    <row r="311" spans="1:9" s="108" customFormat="1">
      <c r="A311" s="105" t="s">
        <v>299</v>
      </c>
      <c r="B311" s="105" t="s">
        <v>55</v>
      </c>
      <c r="C311" s="106">
        <v>2.68</v>
      </c>
      <c r="D311" s="107"/>
      <c r="E311" s="105" t="s">
        <v>24</v>
      </c>
      <c r="F311" s="105" t="s">
        <v>1105</v>
      </c>
      <c r="G311" s="105"/>
      <c r="H311" s="105" t="s">
        <v>64</v>
      </c>
      <c r="I311" s="105" t="s">
        <v>212</v>
      </c>
    </row>
    <row r="312" spans="1:9" s="108" customFormat="1">
      <c r="A312" s="105" t="s">
        <v>300</v>
      </c>
      <c r="B312" s="105" t="s">
        <v>55</v>
      </c>
      <c r="C312" s="106">
        <v>13.6</v>
      </c>
      <c r="D312" s="107">
        <v>0.2</v>
      </c>
      <c r="E312" s="105" t="s">
        <v>24</v>
      </c>
      <c r="F312" s="105" t="s">
        <v>1099</v>
      </c>
      <c r="G312" s="105"/>
      <c r="H312" s="105" t="s">
        <v>64</v>
      </c>
      <c r="I312" s="105" t="s">
        <v>212</v>
      </c>
    </row>
    <row r="313" spans="1:9">
      <c r="A313" s="17"/>
      <c r="B313" s="17"/>
      <c r="C313" s="17"/>
      <c r="D313" s="57"/>
      <c r="E313" s="17" t="s">
        <v>24</v>
      </c>
      <c r="F313" s="17"/>
      <c r="G313" s="17"/>
      <c r="H313" s="17"/>
      <c r="I313" s="17"/>
    </row>
    <row r="314" spans="1:9">
      <c r="A314" s="17" t="s">
        <v>98</v>
      </c>
      <c r="B314" s="17"/>
      <c r="C314" s="17"/>
      <c r="D314" s="57"/>
      <c r="E314" s="17" t="s">
        <v>24</v>
      </c>
      <c r="F314" s="17"/>
      <c r="G314" s="17"/>
      <c r="H314" s="17"/>
      <c r="I314" s="17"/>
    </row>
    <row r="315" spans="1:9" s="108" customFormat="1" ht="15.6">
      <c r="A315" s="105" t="s">
        <v>301</v>
      </c>
      <c r="B315" s="105" t="s">
        <v>74</v>
      </c>
      <c r="C315" s="106">
        <v>4.1580300000000001</v>
      </c>
      <c r="D315" s="109"/>
      <c r="E315" s="105" t="s">
        <v>24</v>
      </c>
      <c r="F315" s="105" t="s">
        <v>1227</v>
      </c>
      <c r="G315" s="105" t="s">
        <v>302</v>
      </c>
      <c r="H315" s="105" t="s">
        <v>64</v>
      </c>
      <c r="I315" s="105" t="s">
        <v>303</v>
      </c>
    </row>
    <row r="316" spans="1:9" ht="15.6">
      <c r="A316" s="17" t="s">
        <v>304</v>
      </c>
      <c r="B316" s="17" t="s">
        <v>74</v>
      </c>
      <c r="C316" s="58">
        <v>2.0042</v>
      </c>
      <c r="D316" s="59">
        <v>0.3</v>
      </c>
      <c r="E316" s="17" t="s">
        <v>24</v>
      </c>
      <c r="F316" s="17" t="s">
        <v>140</v>
      </c>
      <c r="G316" s="17" t="s">
        <v>305</v>
      </c>
      <c r="H316" s="17" t="s">
        <v>64</v>
      </c>
      <c r="I316" s="17" t="s">
        <v>303</v>
      </c>
    </row>
    <row r="317" spans="1:9" s="108" customFormat="1" ht="15.6">
      <c r="A317" s="105" t="s">
        <v>306</v>
      </c>
      <c r="B317" s="105" t="s">
        <v>74</v>
      </c>
      <c r="C317" s="106">
        <v>4.3813300000000002</v>
      </c>
      <c r="D317" s="109"/>
      <c r="E317" s="105" t="s">
        <v>24</v>
      </c>
      <c r="F317" s="105" t="s">
        <v>1227</v>
      </c>
      <c r="G317" s="105" t="s">
        <v>307</v>
      </c>
      <c r="H317" s="105" t="s">
        <v>64</v>
      </c>
      <c r="I317" s="105" t="s">
        <v>303</v>
      </c>
    </row>
    <row r="318" spans="1:9" s="108" customFormat="1">
      <c r="A318" s="105" t="s">
        <v>1308</v>
      </c>
      <c r="B318" s="105" t="s">
        <v>78</v>
      </c>
      <c r="C318" s="106">
        <f>0.00142*2.28*1000</f>
        <v>3.2375999999999996</v>
      </c>
      <c r="D318" s="107"/>
      <c r="E318" s="105" t="s">
        <v>24</v>
      </c>
      <c r="F318" s="105" t="s">
        <v>1105</v>
      </c>
      <c r="G318" s="105"/>
      <c r="H318" s="105" t="s">
        <v>64</v>
      </c>
      <c r="I318" s="105" t="s">
        <v>303</v>
      </c>
    </row>
    <row r="319" spans="1:9" s="108" customFormat="1">
      <c r="A319" s="105" t="s">
        <v>1309</v>
      </c>
      <c r="B319" s="105" t="s">
        <v>78</v>
      </c>
      <c r="C319" s="106">
        <f>0.0023*2.28*1000</f>
        <v>5.2439999999999998</v>
      </c>
      <c r="D319" s="107"/>
      <c r="E319" s="105" t="s">
        <v>24</v>
      </c>
      <c r="F319" s="105" t="s">
        <v>1105</v>
      </c>
      <c r="G319" s="105"/>
      <c r="H319" s="105" t="s">
        <v>64</v>
      </c>
      <c r="I319" s="105" t="s">
        <v>303</v>
      </c>
    </row>
    <row r="320" spans="1:9" s="108" customFormat="1">
      <c r="A320" s="105" t="s">
        <v>1310</v>
      </c>
      <c r="B320" s="105" t="s">
        <v>78</v>
      </c>
      <c r="C320" s="106">
        <f>0.0036*2.28*1000</f>
        <v>8.2079999999999984</v>
      </c>
      <c r="D320" s="107"/>
      <c r="E320" s="105" t="s">
        <v>24</v>
      </c>
      <c r="F320" s="105" t="s">
        <v>1105</v>
      </c>
      <c r="G320" s="105"/>
      <c r="H320" s="105" t="s">
        <v>64</v>
      </c>
      <c r="I320" s="105" t="s">
        <v>303</v>
      </c>
    </row>
    <row r="321" spans="1:9" s="108" customFormat="1">
      <c r="A321" s="105" t="s">
        <v>1311</v>
      </c>
      <c r="B321" s="105" t="s">
        <v>78</v>
      </c>
      <c r="C321" s="106">
        <f>0.00552*2.28*1000</f>
        <v>12.585599999999999</v>
      </c>
      <c r="D321" s="107"/>
      <c r="E321" s="105" t="s">
        <v>24</v>
      </c>
      <c r="F321" s="105" t="s">
        <v>1105</v>
      </c>
      <c r="G321" s="105"/>
      <c r="H321" s="105" t="s">
        <v>64</v>
      </c>
      <c r="I321" s="105" t="s">
        <v>303</v>
      </c>
    </row>
    <row r="322" spans="1:9" s="108" customFormat="1">
      <c r="A322" s="105" t="s">
        <v>1312</v>
      </c>
      <c r="B322" s="105" t="s">
        <v>78</v>
      </c>
      <c r="C322" s="106">
        <f>0.0144*2.28*1000</f>
        <v>32.831999999999994</v>
      </c>
      <c r="D322" s="107"/>
      <c r="E322" s="105" t="s">
        <v>24</v>
      </c>
      <c r="F322" s="105" t="s">
        <v>1105</v>
      </c>
      <c r="G322" s="105"/>
      <c r="H322" s="105" t="s">
        <v>64</v>
      </c>
      <c r="I322" s="105" t="s">
        <v>303</v>
      </c>
    </row>
    <row r="323" spans="1:9" s="108" customFormat="1">
      <c r="A323" s="105" t="s">
        <v>1313</v>
      </c>
      <c r="B323" s="105" t="s">
        <v>78</v>
      </c>
      <c r="C323" s="106">
        <f>0.042*2.28*1000</f>
        <v>95.759999999999991</v>
      </c>
      <c r="D323" s="107"/>
      <c r="E323" s="105" t="s">
        <v>24</v>
      </c>
      <c r="F323" s="105" t="s">
        <v>1105</v>
      </c>
      <c r="G323" s="105"/>
      <c r="H323" s="105" t="s">
        <v>64</v>
      </c>
      <c r="I323" s="105" t="s">
        <v>303</v>
      </c>
    </row>
    <row r="324" spans="1:9" s="108" customFormat="1">
      <c r="A324" s="105" t="s">
        <v>1314</v>
      </c>
      <c r="B324" s="105" t="s">
        <v>78</v>
      </c>
      <c r="C324" s="106">
        <f>0.00169*2.28*1000</f>
        <v>3.8531999999999997</v>
      </c>
      <c r="D324" s="107"/>
      <c r="E324" s="105" t="s">
        <v>24</v>
      </c>
      <c r="F324" s="105" t="s">
        <v>1105</v>
      </c>
      <c r="G324" s="105"/>
      <c r="H324" s="105" t="s">
        <v>64</v>
      </c>
      <c r="I324" s="105" t="s">
        <v>303</v>
      </c>
    </row>
    <row r="325" spans="1:9" s="108" customFormat="1">
      <c r="A325" s="105" t="s">
        <v>1315</v>
      </c>
      <c r="B325" s="105" t="s">
        <v>78</v>
      </c>
      <c r="C325" s="106">
        <f>0.00278*2.28*1000</f>
        <v>6.3383999999999991</v>
      </c>
      <c r="D325" s="107"/>
      <c r="E325" s="105" t="s">
        <v>24</v>
      </c>
      <c r="F325" s="105" t="s">
        <v>1105</v>
      </c>
      <c r="G325" s="105"/>
      <c r="H325" s="105" t="s">
        <v>64</v>
      </c>
      <c r="I325" s="105" t="s">
        <v>303</v>
      </c>
    </row>
    <row r="326" spans="1:9" s="108" customFormat="1">
      <c r="A326" s="105" t="s">
        <v>1316</v>
      </c>
      <c r="B326" s="105" t="s">
        <v>78</v>
      </c>
      <c r="C326" s="106">
        <f>0.00438*2.28*1000</f>
        <v>9.9863999999999997</v>
      </c>
      <c r="D326" s="107"/>
      <c r="E326" s="105" t="s">
        <v>24</v>
      </c>
      <c r="F326" s="105" t="s">
        <v>1105</v>
      </c>
      <c r="G326" s="105"/>
      <c r="H326" s="105" t="s">
        <v>64</v>
      </c>
      <c r="I326" s="105" t="s">
        <v>303</v>
      </c>
    </row>
    <row r="327" spans="1:9" s="108" customFormat="1">
      <c r="A327" s="105" t="s">
        <v>1317</v>
      </c>
      <c r="B327" s="105" t="s">
        <v>78</v>
      </c>
      <c r="C327" s="106">
        <f>0.00676*2.28*1000</f>
        <v>15.412799999999999</v>
      </c>
      <c r="D327" s="107"/>
      <c r="E327" s="105" t="s">
        <v>24</v>
      </c>
      <c r="F327" s="105" t="s">
        <v>1105</v>
      </c>
      <c r="G327" s="105"/>
      <c r="H327" s="105" t="s">
        <v>64</v>
      </c>
      <c r="I327" s="105" t="s">
        <v>303</v>
      </c>
    </row>
    <row r="328" spans="1:9" s="108" customFormat="1">
      <c r="A328" s="105" t="s">
        <v>1318</v>
      </c>
      <c r="B328" s="105" t="s">
        <v>78</v>
      </c>
      <c r="C328" s="106">
        <f>0.01076*2.28*1000</f>
        <v>24.532800000000002</v>
      </c>
      <c r="D328" s="107"/>
      <c r="E328" s="105" t="s">
        <v>24</v>
      </c>
      <c r="F328" s="105" t="s">
        <v>1105</v>
      </c>
      <c r="G328" s="105"/>
      <c r="H328" s="105" t="s">
        <v>64</v>
      </c>
      <c r="I328" s="105" t="s">
        <v>303</v>
      </c>
    </row>
    <row r="329" spans="1:9" s="108" customFormat="1">
      <c r="A329" s="105" t="s">
        <v>1319</v>
      </c>
      <c r="B329" s="105" t="s">
        <v>78</v>
      </c>
      <c r="C329" s="106">
        <f>0.0174*2.28*1000</f>
        <v>39.67199999999999</v>
      </c>
      <c r="D329" s="107"/>
      <c r="E329" s="105" t="s">
        <v>24</v>
      </c>
      <c r="F329" s="105" t="s">
        <v>1105</v>
      </c>
      <c r="G329" s="105"/>
      <c r="H329" s="105" t="s">
        <v>64</v>
      </c>
      <c r="I329" s="105" t="s">
        <v>303</v>
      </c>
    </row>
    <row r="330" spans="1:9" s="108" customFormat="1">
      <c r="A330" s="105" t="s">
        <v>1320</v>
      </c>
      <c r="B330" s="105" t="s">
        <v>78</v>
      </c>
      <c r="C330" s="106">
        <f>0.026*2.28*1000</f>
        <v>59.279999999999994</v>
      </c>
      <c r="D330" s="107"/>
      <c r="E330" s="105" t="s">
        <v>24</v>
      </c>
      <c r="F330" s="105" t="s">
        <v>1105</v>
      </c>
      <c r="G330" s="105"/>
      <c r="H330" s="105" t="s">
        <v>64</v>
      </c>
      <c r="I330" s="105" t="s">
        <v>303</v>
      </c>
    </row>
    <row r="331" spans="1:9" s="108" customFormat="1">
      <c r="A331" s="105" t="s">
        <v>1321</v>
      </c>
      <c r="B331" s="105" t="s">
        <v>78</v>
      </c>
      <c r="C331" s="106">
        <f>0.042*2.28*1000</f>
        <v>95.759999999999991</v>
      </c>
      <c r="D331" s="107"/>
      <c r="E331" s="105" t="s">
        <v>24</v>
      </c>
      <c r="F331" s="105" t="s">
        <v>1105</v>
      </c>
      <c r="G331" s="105"/>
      <c r="H331" s="105" t="s">
        <v>64</v>
      </c>
      <c r="I331" s="105" t="s">
        <v>303</v>
      </c>
    </row>
    <row r="332" spans="1:9" s="108" customFormat="1" ht="15.6">
      <c r="A332" s="105" t="s">
        <v>1322</v>
      </c>
      <c r="B332" s="105" t="s">
        <v>78</v>
      </c>
      <c r="C332" s="106">
        <v>10.3</v>
      </c>
      <c r="D332" s="109">
        <v>0.4</v>
      </c>
      <c r="E332" s="105" t="s">
        <v>24</v>
      </c>
      <c r="F332" s="105" t="s">
        <v>144</v>
      </c>
      <c r="G332" s="105"/>
      <c r="H332" s="105" t="s">
        <v>64</v>
      </c>
      <c r="I332" s="105" t="s">
        <v>303</v>
      </c>
    </row>
    <row r="333" spans="1:9" s="108" customFormat="1" ht="15.6">
      <c r="A333" s="105" t="s">
        <v>1323</v>
      </c>
      <c r="B333" s="105" t="s">
        <v>78</v>
      </c>
      <c r="C333" s="106">
        <v>24.3</v>
      </c>
      <c r="D333" s="109">
        <v>0.4</v>
      </c>
      <c r="E333" s="105" t="s">
        <v>24</v>
      </c>
      <c r="F333" s="105" t="s">
        <v>144</v>
      </c>
      <c r="G333" s="105"/>
      <c r="H333" s="105" t="s">
        <v>64</v>
      </c>
      <c r="I333" s="105" t="s">
        <v>303</v>
      </c>
    </row>
    <row r="334" spans="1:9" s="108" customFormat="1" ht="15.6">
      <c r="A334" s="105" t="s">
        <v>1324</v>
      </c>
      <c r="B334" s="105" t="s">
        <v>78</v>
      </c>
      <c r="C334" s="106">
        <v>87.3</v>
      </c>
      <c r="D334" s="109">
        <v>0.4</v>
      </c>
      <c r="E334" s="105" t="s">
        <v>24</v>
      </c>
      <c r="F334" s="105" t="s">
        <v>144</v>
      </c>
      <c r="G334" s="105"/>
      <c r="H334" s="105" t="s">
        <v>64</v>
      </c>
      <c r="I334" s="105" t="s">
        <v>303</v>
      </c>
    </row>
    <row r="335" spans="1:9" ht="15.6">
      <c r="A335" s="17" t="s">
        <v>308</v>
      </c>
      <c r="B335" s="17" t="s">
        <v>78</v>
      </c>
      <c r="C335" s="58">
        <v>27</v>
      </c>
      <c r="D335" s="59">
        <v>0.3</v>
      </c>
      <c r="E335" s="17" t="s">
        <v>24</v>
      </c>
      <c r="F335" s="17" t="s">
        <v>189</v>
      </c>
      <c r="G335" s="17"/>
      <c r="H335" s="17" t="s">
        <v>64</v>
      </c>
      <c r="I335" s="17" t="s">
        <v>303</v>
      </c>
    </row>
    <row r="336" spans="1:9" ht="15.6">
      <c r="A336" s="17" t="s">
        <v>309</v>
      </c>
      <c r="B336" s="17" t="s">
        <v>78</v>
      </c>
      <c r="C336" s="58">
        <v>114</v>
      </c>
      <c r="D336" s="59">
        <v>0.3</v>
      </c>
      <c r="E336" s="17" t="s">
        <v>24</v>
      </c>
      <c r="F336" s="17" t="s">
        <v>189</v>
      </c>
      <c r="G336" s="17"/>
      <c r="H336" s="17" t="s">
        <v>64</v>
      </c>
      <c r="I336" s="17" t="s">
        <v>303</v>
      </c>
    </row>
    <row r="337" spans="1:9" ht="15.6">
      <c r="A337" s="17" t="s">
        <v>310</v>
      </c>
      <c r="B337" s="17" t="s">
        <v>78</v>
      </c>
      <c r="C337" s="58">
        <v>96</v>
      </c>
      <c r="D337" s="59">
        <v>0.3</v>
      </c>
      <c r="E337" s="17" t="s">
        <v>24</v>
      </c>
      <c r="F337" s="17" t="s">
        <v>189</v>
      </c>
      <c r="G337" s="17"/>
      <c r="H337" s="17" t="s">
        <v>64</v>
      </c>
      <c r="I337" s="17" t="s">
        <v>303</v>
      </c>
    </row>
    <row r="338" spans="1:9" ht="15.6">
      <c r="A338" s="17" t="s">
        <v>311</v>
      </c>
      <c r="B338" s="17" t="s">
        <v>78</v>
      </c>
      <c r="C338" s="58">
        <v>151</v>
      </c>
      <c r="D338" s="59">
        <v>0.3</v>
      </c>
      <c r="E338" s="17" t="s">
        <v>24</v>
      </c>
      <c r="F338" s="17" t="s">
        <v>189</v>
      </c>
      <c r="G338" s="17"/>
      <c r="H338" s="17" t="s">
        <v>64</v>
      </c>
      <c r="I338" s="17" t="s">
        <v>303</v>
      </c>
    </row>
    <row r="339" spans="1:9" ht="15.6">
      <c r="A339" s="17" t="s">
        <v>312</v>
      </c>
      <c r="B339" s="17" t="s">
        <v>78</v>
      </c>
      <c r="C339" s="58">
        <v>811</v>
      </c>
      <c r="D339" s="59">
        <v>0.3</v>
      </c>
      <c r="E339" s="17" t="s">
        <v>24</v>
      </c>
      <c r="F339" s="17" t="s">
        <v>189</v>
      </c>
      <c r="G339" s="17"/>
      <c r="H339" s="17" t="s">
        <v>64</v>
      </c>
      <c r="I339" s="17" t="s">
        <v>303</v>
      </c>
    </row>
    <row r="340" spans="1:9" s="108" customFormat="1" ht="15.6">
      <c r="A340" s="105" t="s">
        <v>1325</v>
      </c>
      <c r="B340" s="105" t="s">
        <v>74</v>
      </c>
      <c r="C340" s="106">
        <v>3.5061599999999999</v>
      </c>
      <c r="D340" s="109"/>
      <c r="E340" s="105" t="s">
        <v>24</v>
      </c>
      <c r="F340" s="105" t="s">
        <v>1227</v>
      </c>
      <c r="G340" s="105"/>
      <c r="H340" s="105" t="s">
        <v>64</v>
      </c>
      <c r="I340" s="105" t="s">
        <v>303</v>
      </c>
    </row>
    <row r="341" spans="1:9" s="108" customFormat="1" ht="15.6">
      <c r="A341" s="105" t="s">
        <v>1326</v>
      </c>
      <c r="B341" s="105" t="s">
        <v>74</v>
      </c>
      <c r="C341" s="106">
        <v>1.63975</v>
      </c>
      <c r="D341" s="109"/>
      <c r="E341" s="105" t="s">
        <v>24</v>
      </c>
      <c r="F341" s="105" t="s">
        <v>1227</v>
      </c>
      <c r="G341" s="105"/>
      <c r="H341" s="105" t="s">
        <v>64</v>
      </c>
      <c r="I341" s="105" t="s">
        <v>303</v>
      </c>
    </row>
    <row r="342" spans="1:9" s="108" customFormat="1" ht="15.6">
      <c r="A342" s="105" t="s">
        <v>1327</v>
      </c>
      <c r="B342" s="105" t="s">
        <v>74</v>
      </c>
      <c r="C342" s="106">
        <v>5.54223</v>
      </c>
      <c r="D342" s="109"/>
      <c r="E342" s="105" t="s">
        <v>24</v>
      </c>
      <c r="F342" s="105" t="s">
        <v>1227</v>
      </c>
      <c r="G342" s="105"/>
      <c r="H342" s="105" t="s">
        <v>64</v>
      </c>
      <c r="I342" s="105" t="s">
        <v>303</v>
      </c>
    </row>
    <row r="343" spans="1:9" s="108" customFormat="1" ht="15.6">
      <c r="A343" s="105" t="s">
        <v>1328</v>
      </c>
      <c r="B343" s="105" t="s">
        <v>74</v>
      </c>
      <c r="C343" s="106">
        <v>4.3813300000000002</v>
      </c>
      <c r="D343" s="109"/>
      <c r="E343" s="105" t="s">
        <v>24</v>
      </c>
      <c r="F343" s="105" t="s">
        <v>1227</v>
      </c>
      <c r="G343" s="105"/>
      <c r="H343" s="105" t="s">
        <v>64</v>
      </c>
      <c r="I343" s="105" t="s">
        <v>303</v>
      </c>
    </row>
    <row r="344" spans="1:9">
      <c r="A344" s="17" t="s">
        <v>313</v>
      </c>
      <c r="B344" s="17" t="s">
        <v>314</v>
      </c>
      <c r="C344" s="58">
        <v>5.7887199999999996</v>
      </c>
      <c r="D344" s="57">
        <v>0.1</v>
      </c>
      <c r="E344" s="17" t="s">
        <v>24</v>
      </c>
      <c r="F344" s="17" t="s">
        <v>167</v>
      </c>
      <c r="G344" s="17"/>
      <c r="H344" s="17" t="s">
        <v>64</v>
      </c>
      <c r="I344" s="17" t="s">
        <v>303</v>
      </c>
    </row>
    <row r="345" spans="1:9">
      <c r="A345" s="17" t="s">
        <v>315</v>
      </c>
      <c r="B345" s="17" t="s">
        <v>55</v>
      </c>
      <c r="C345" s="58">
        <v>4400</v>
      </c>
      <c r="D345" s="57">
        <v>0.4</v>
      </c>
      <c r="E345" s="17" t="s">
        <v>24</v>
      </c>
      <c r="F345" s="17" t="s">
        <v>167</v>
      </c>
      <c r="G345" s="17"/>
      <c r="H345" s="17" t="s">
        <v>64</v>
      </c>
      <c r="I345" s="17" t="s">
        <v>303</v>
      </c>
    </row>
    <row r="346" spans="1:9" ht="15.6">
      <c r="A346" s="17" t="s">
        <v>316</v>
      </c>
      <c r="B346" s="17" t="s">
        <v>74</v>
      </c>
      <c r="C346" s="58">
        <v>3.9659</v>
      </c>
      <c r="D346" s="59">
        <v>0.3</v>
      </c>
      <c r="E346" s="17" t="s">
        <v>24</v>
      </c>
      <c r="F346" s="17" t="s">
        <v>140</v>
      </c>
      <c r="G346" s="17" t="s">
        <v>317</v>
      </c>
      <c r="H346" s="17" t="s">
        <v>64</v>
      </c>
      <c r="I346" s="17" t="s">
        <v>303</v>
      </c>
    </row>
    <row r="347" spans="1:9" ht="15.6">
      <c r="A347" s="17" t="s">
        <v>318</v>
      </c>
      <c r="B347" s="17" t="s">
        <v>74</v>
      </c>
      <c r="C347" s="58">
        <v>6.2986000000000004</v>
      </c>
      <c r="D347" s="59">
        <v>0.3</v>
      </c>
      <c r="E347" s="17" t="s">
        <v>24</v>
      </c>
      <c r="F347" s="17" t="s">
        <v>140</v>
      </c>
      <c r="G347" s="17" t="s">
        <v>317</v>
      </c>
      <c r="H347" s="17" t="s">
        <v>64</v>
      </c>
      <c r="I347" s="17" t="s">
        <v>303</v>
      </c>
    </row>
    <row r="348" spans="1:9">
      <c r="A348" s="17" t="s">
        <v>319</v>
      </c>
      <c r="B348" s="17" t="s">
        <v>78</v>
      </c>
      <c r="C348" s="58">
        <v>1.0083333333333333</v>
      </c>
      <c r="D348" s="57">
        <v>0.3</v>
      </c>
      <c r="E348" s="17" t="s">
        <v>24</v>
      </c>
      <c r="F348" s="17" t="s">
        <v>135</v>
      </c>
      <c r="G348" s="17"/>
      <c r="H348" s="17" t="s">
        <v>64</v>
      </c>
      <c r="I348" s="17" t="s">
        <v>303</v>
      </c>
    </row>
    <row r="349" spans="1:9" ht="15.6">
      <c r="A349" s="17" t="s">
        <v>320</v>
      </c>
      <c r="B349" s="17" t="s">
        <v>55</v>
      </c>
      <c r="C349" s="58">
        <v>4480</v>
      </c>
      <c r="D349" s="59">
        <v>0.3</v>
      </c>
      <c r="E349" s="17" t="s">
        <v>24</v>
      </c>
      <c r="F349" s="17" t="s">
        <v>158</v>
      </c>
      <c r="G349" s="17"/>
      <c r="H349" s="17" t="s">
        <v>64</v>
      </c>
      <c r="I349" s="17" t="s">
        <v>303</v>
      </c>
    </row>
    <row r="350" spans="1:9" s="108" customFormat="1" ht="15.6">
      <c r="A350" s="105" t="s">
        <v>321</v>
      </c>
      <c r="B350" s="105" t="s">
        <v>74</v>
      </c>
      <c r="C350" s="106">
        <v>1.93174</v>
      </c>
      <c r="D350" s="109"/>
      <c r="E350" s="105" t="s">
        <v>24</v>
      </c>
      <c r="F350" s="105" t="s">
        <v>1227</v>
      </c>
      <c r="G350" s="105"/>
      <c r="H350" s="105" t="s">
        <v>64</v>
      </c>
      <c r="I350" s="105" t="s">
        <v>303</v>
      </c>
    </row>
    <row r="351" spans="1:9" s="108" customFormat="1" ht="15.6">
      <c r="A351" s="105" t="s">
        <v>322</v>
      </c>
      <c r="B351" s="105" t="s">
        <v>74</v>
      </c>
      <c r="C351" s="106">
        <v>9.4587199999999996</v>
      </c>
      <c r="D351" s="109"/>
      <c r="E351" s="105" t="s">
        <v>24</v>
      </c>
      <c r="F351" s="105" t="s">
        <v>1227</v>
      </c>
      <c r="G351" s="105" t="s">
        <v>323</v>
      </c>
      <c r="H351" s="105" t="s">
        <v>64</v>
      </c>
      <c r="I351" s="105" t="s">
        <v>303</v>
      </c>
    </row>
    <row r="352" spans="1:9" ht="15.6">
      <c r="A352" s="17" t="s">
        <v>324</v>
      </c>
      <c r="B352" s="17" t="s">
        <v>74</v>
      </c>
      <c r="C352" s="58">
        <v>3.4275000000000002</v>
      </c>
      <c r="D352" s="59">
        <v>0.3</v>
      </c>
      <c r="E352" s="17" t="s">
        <v>24</v>
      </c>
      <c r="F352" s="17" t="s">
        <v>140</v>
      </c>
      <c r="G352" s="17" t="s">
        <v>317</v>
      </c>
      <c r="H352" s="17" t="s">
        <v>64</v>
      </c>
      <c r="I352" s="17" t="s">
        <v>303</v>
      </c>
    </row>
    <row r="353" spans="1:9" ht="15.6">
      <c r="A353" s="17" t="s">
        <v>325</v>
      </c>
      <c r="B353" s="17" t="s">
        <v>74</v>
      </c>
      <c r="C353" s="58">
        <v>2.7004000000000001</v>
      </c>
      <c r="D353" s="59">
        <v>0.3</v>
      </c>
      <c r="E353" s="17" t="s">
        <v>24</v>
      </c>
      <c r="F353" s="17" t="s">
        <v>140</v>
      </c>
      <c r="G353" s="17" t="s">
        <v>317</v>
      </c>
      <c r="H353" s="17" t="s">
        <v>64</v>
      </c>
      <c r="I353" s="17" t="s">
        <v>303</v>
      </c>
    </row>
    <row r="354" spans="1:9" ht="15.6">
      <c r="A354" s="17" t="s">
        <v>326</v>
      </c>
      <c r="B354" s="17" t="s">
        <v>74</v>
      </c>
      <c r="C354" s="58">
        <v>2.0840000000000001</v>
      </c>
      <c r="D354" s="59">
        <v>0.3</v>
      </c>
      <c r="E354" s="17" t="s">
        <v>24</v>
      </c>
      <c r="F354" s="17" t="s">
        <v>140</v>
      </c>
      <c r="G354" s="17" t="s">
        <v>302</v>
      </c>
      <c r="H354" s="17" t="s">
        <v>64</v>
      </c>
      <c r="I354" s="17" t="s">
        <v>303</v>
      </c>
    </row>
    <row r="355" spans="1:9" ht="15.6">
      <c r="A355" s="17" t="s">
        <v>327</v>
      </c>
      <c r="B355" s="17" t="s">
        <v>74</v>
      </c>
      <c r="C355" s="58">
        <v>2.6796000000000002</v>
      </c>
      <c r="D355" s="59">
        <v>0.3</v>
      </c>
      <c r="E355" s="17" t="s">
        <v>24</v>
      </c>
      <c r="F355" s="17" t="s">
        <v>140</v>
      </c>
      <c r="G355" s="17" t="s">
        <v>302</v>
      </c>
      <c r="H355" s="17" t="s">
        <v>64</v>
      </c>
      <c r="I355" s="17" t="s">
        <v>303</v>
      </c>
    </row>
    <row r="356" spans="1:9" ht="15.6">
      <c r="A356" s="17" t="s">
        <v>328</v>
      </c>
      <c r="B356" s="17" t="s">
        <v>74</v>
      </c>
      <c r="C356" s="58">
        <v>2.8502000000000001</v>
      </c>
      <c r="D356" s="59">
        <v>0.3</v>
      </c>
      <c r="E356" s="17" t="s">
        <v>24</v>
      </c>
      <c r="F356" s="17" t="s">
        <v>140</v>
      </c>
      <c r="G356" s="17" t="s">
        <v>302</v>
      </c>
      <c r="H356" s="17" t="s">
        <v>64</v>
      </c>
      <c r="I356" s="17" t="s">
        <v>303</v>
      </c>
    </row>
    <row r="357" spans="1:9" ht="15.6">
      <c r="A357" s="17" t="s">
        <v>329</v>
      </c>
      <c r="B357" s="17" t="s">
        <v>74</v>
      </c>
      <c r="C357" s="58">
        <v>22.515000000000001</v>
      </c>
      <c r="D357" s="59">
        <v>0.3</v>
      </c>
      <c r="E357" s="17" t="s">
        <v>24</v>
      </c>
      <c r="F357" s="17" t="s">
        <v>140</v>
      </c>
      <c r="G357" s="17" t="s">
        <v>302</v>
      </c>
      <c r="H357" s="17" t="s">
        <v>64</v>
      </c>
      <c r="I357" s="17" t="s">
        <v>303</v>
      </c>
    </row>
    <row r="358" spans="1:9" ht="15.6">
      <c r="A358" s="17" t="s">
        <v>330</v>
      </c>
      <c r="B358" s="17" t="s">
        <v>74</v>
      </c>
      <c r="C358" s="58">
        <v>2.6652</v>
      </c>
      <c r="D358" s="59">
        <v>0.3</v>
      </c>
      <c r="E358" s="17" t="s">
        <v>24</v>
      </c>
      <c r="F358" s="17" t="s">
        <v>140</v>
      </c>
      <c r="G358" s="17" t="s">
        <v>302</v>
      </c>
      <c r="H358" s="17" t="s">
        <v>64</v>
      </c>
      <c r="I358" s="17" t="s">
        <v>303</v>
      </c>
    </row>
    <row r="359" spans="1:9" s="108" customFormat="1">
      <c r="A359" s="105" t="s">
        <v>331</v>
      </c>
      <c r="B359" s="105" t="s">
        <v>55</v>
      </c>
      <c r="C359" s="106">
        <v>5500</v>
      </c>
      <c r="D359" s="107">
        <v>0.2</v>
      </c>
      <c r="E359" s="105" t="s">
        <v>24</v>
      </c>
      <c r="F359" s="105" t="s">
        <v>1099</v>
      </c>
      <c r="G359" s="105"/>
      <c r="H359" s="105" t="s">
        <v>64</v>
      </c>
      <c r="I359" s="105" t="s">
        <v>303</v>
      </c>
    </row>
    <row r="360" spans="1:9" s="108" customFormat="1">
      <c r="A360" s="105" t="s">
        <v>1329</v>
      </c>
      <c r="B360" s="105" t="s">
        <v>55</v>
      </c>
      <c r="C360" s="106">
        <v>2460</v>
      </c>
      <c r="D360" s="107">
        <v>0.2</v>
      </c>
      <c r="E360" s="105" t="s">
        <v>24</v>
      </c>
      <c r="F360" s="105" t="s">
        <v>1099</v>
      </c>
      <c r="G360" s="105"/>
      <c r="H360" s="105" t="s">
        <v>64</v>
      </c>
      <c r="I360" s="105" t="s">
        <v>303</v>
      </c>
    </row>
    <row r="361" spans="1:9" s="108" customFormat="1" ht="15.6">
      <c r="A361" s="105" t="s">
        <v>332</v>
      </c>
      <c r="B361" s="105" t="s">
        <v>74</v>
      </c>
      <c r="C361" s="106">
        <v>3.5760399999999999</v>
      </c>
      <c r="D361" s="109"/>
      <c r="E361" s="105" t="s">
        <v>24</v>
      </c>
      <c r="F361" s="105" t="s">
        <v>1227</v>
      </c>
      <c r="G361" s="105"/>
      <c r="H361" s="105" t="s">
        <v>64</v>
      </c>
      <c r="I361" s="105" t="s">
        <v>303</v>
      </c>
    </row>
    <row r="362" spans="1:9" ht="15.6">
      <c r="A362" s="17" t="s">
        <v>333</v>
      </c>
      <c r="B362" s="17" t="s">
        <v>74</v>
      </c>
      <c r="C362" s="58">
        <v>3.0337000000000001</v>
      </c>
      <c r="D362" s="59">
        <v>0.3</v>
      </c>
      <c r="E362" s="17" t="s">
        <v>24</v>
      </c>
      <c r="F362" s="17" t="s">
        <v>140</v>
      </c>
      <c r="G362" s="17" t="s">
        <v>334</v>
      </c>
      <c r="H362" s="17" t="s">
        <v>64</v>
      </c>
      <c r="I362" s="17" t="s">
        <v>303</v>
      </c>
    </row>
    <row r="363" spans="1:9" ht="15.6">
      <c r="A363" s="17" t="s">
        <v>335</v>
      </c>
      <c r="B363" s="17" t="s">
        <v>74</v>
      </c>
      <c r="C363" s="58">
        <v>9.1735000000000007</v>
      </c>
      <c r="D363" s="59">
        <v>0.3</v>
      </c>
      <c r="E363" s="17" t="s">
        <v>24</v>
      </c>
      <c r="F363" s="17" t="s">
        <v>140</v>
      </c>
      <c r="G363" s="17" t="s">
        <v>302</v>
      </c>
      <c r="H363" s="17" t="s">
        <v>64</v>
      </c>
      <c r="I363" s="17" t="s">
        <v>303</v>
      </c>
    </row>
    <row r="364" spans="1:9" ht="15.6">
      <c r="A364" s="17" t="s">
        <v>336</v>
      </c>
      <c r="B364" s="17" t="s">
        <v>74</v>
      </c>
      <c r="C364" s="58">
        <v>7.2526999999999999</v>
      </c>
      <c r="D364" s="59">
        <v>0.3</v>
      </c>
      <c r="E364" s="17" t="s">
        <v>24</v>
      </c>
      <c r="F364" s="17" t="s">
        <v>140</v>
      </c>
      <c r="G364" s="17" t="s">
        <v>302</v>
      </c>
      <c r="H364" s="17" t="s">
        <v>64</v>
      </c>
      <c r="I364" s="17" t="s">
        <v>303</v>
      </c>
    </row>
    <row r="365" spans="1:9" ht="15.6">
      <c r="A365" s="17" t="s">
        <v>337</v>
      </c>
      <c r="B365" s="17" t="s">
        <v>74</v>
      </c>
      <c r="C365" s="58">
        <v>7.9191000000000003</v>
      </c>
      <c r="D365" s="59">
        <v>0.3</v>
      </c>
      <c r="E365" s="17" t="s">
        <v>24</v>
      </c>
      <c r="F365" s="17" t="s">
        <v>140</v>
      </c>
      <c r="G365" s="17" t="s">
        <v>302</v>
      </c>
      <c r="H365" s="17" t="s">
        <v>64</v>
      </c>
      <c r="I365" s="17" t="s">
        <v>303</v>
      </c>
    </row>
    <row r="366" spans="1:9" ht="15.6">
      <c r="A366" s="17" t="s">
        <v>338</v>
      </c>
      <c r="B366" s="17" t="s">
        <v>74</v>
      </c>
      <c r="C366" s="58">
        <v>6.984</v>
      </c>
      <c r="D366" s="59">
        <v>0.3</v>
      </c>
      <c r="E366" s="17" t="s">
        <v>24</v>
      </c>
      <c r="F366" s="17" t="s">
        <v>140</v>
      </c>
      <c r="G366" s="17" t="s">
        <v>302</v>
      </c>
      <c r="H366" s="17" t="s">
        <v>64</v>
      </c>
      <c r="I366" s="17" t="s">
        <v>303</v>
      </c>
    </row>
    <row r="367" spans="1:9" s="108" customFormat="1">
      <c r="A367" s="105" t="s">
        <v>99</v>
      </c>
      <c r="B367" s="105" t="s">
        <v>74</v>
      </c>
      <c r="C367" s="106">
        <f>2090/1000</f>
        <v>2.09</v>
      </c>
      <c r="D367" s="107">
        <v>0.2</v>
      </c>
      <c r="E367" s="105" t="s">
        <v>24</v>
      </c>
      <c r="F367" s="105" t="s">
        <v>1099</v>
      </c>
      <c r="G367" s="105" t="s">
        <v>302</v>
      </c>
      <c r="H367" s="105" t="s">
        <v>64</v>
      </c>
      <c r="I367" s="105" t="s">
        <v>303</v>
      </c>
    </row>
    <row r="368" spans="1:9" s="108" customFormat="1" ht="15.6">
      <c r="A368" s="105" t="s">
        <v>339</v>
      </c>
      <c r="B368" s="105" t="s">
        <v>74</v>
      </c>
      <c r="C368" s="106">
        <f>C382/1000</f>
        <v>2.0095700000000001</v>
      </c>
      <c r="D368" s="109">
        <v>0.2</v>
      </c>
      <c r="E368" s="105" t="s">
        <v>24</v>
      </c>
      <c r="F368" s="105" t="s">
        <v>1099</v>
      </c>
      <c r="G368" s="105" t="s">
        <v>302</v>
      </c>
      <c r="H368" s="105" t="s">
        <v>64</v>
      </c>
      <c r="I368" s="105" t="s">
        <v>303</v>
      </c>
    </row>
    <row r="369" spans="1:9" s="108" customFormat="1">
      <c r="A369" s="105" t="s">
        <v>340</v>
      </c>
      <c r="B369" s="105" t="s">
        <v>55</v>
      </c>
      <c r="C369" s="106">
        <v>202</v>
      </c>
      <c r="D369" s="107">
        <v>0.2</v>
      </c>
      <c r="E369" s="105" t="s">
        <v>24</v>
      </c>
      <c r="F369" s="105" t="s">
        <v>1099</v>
      </c>
      <c r="G369" s="105"/>
      <c r="H369" s="105" t="s">
        <v>64</v>
      </c>
      <c r="I369" s="105" t="s">
        <v>303</v>
      </c>
    </row>
    <row r="370" spans="1:9" s="108" customFormat="1">
      <c r="A370" s="105" t="s">
        <v>341</v>
      </c>
      <c r="B370" s="105" t="s">
        <v>55</v>
      </c>
      <c r="C370" s="106">
        <v>3270</v>
      </c>
      <c r="D370" s="107">
        <v>0.2</v>
      </c>
      <c r="E370" s="105" t="s">
        <v>24</v>
      </c>
      <c r="F370" s="105" t="s">
        <v>1099</v>
      </c>
      <c r="G370" s="105"/>
      <c r="H370" s="105" t="s">
        <v>64</v>
      </c>
      <c r="I370" s="105" t="s">
        <v>303</v>
      </c>
    </row>
    <row r="371" spans="1:9" s="108" customFormat="1" ht="15.6">
      <c r="A371" s="105" t="s">
        <v>1330</v>
      </c>
      <c r="B371" s="105" t="s">
        <v>74</v>
      </c>
      <c r="C371" s="106">
        <v>1.71061</v>
      </c>
      <c r="D371" s="109"/>
      <c r="E371" s="105" t="s">
        <v>24</v>
      </c>
      <c r="F371" s="105" t="s">
        <v>1227</v>
      </c>
      <c r="G371" s="105" t="s">
        <v>1331</v>
      </c>
      <c r="H371" s="105" t="s">
        <v>64</v>
      </c>
      <c r="I371" s="105" t="s">
        <v>303</v>
      </c>
    </row>
    <row r="372" spans="1:9" ht="15.6">
      <c r="A372" s="17" t="s">
        <v>342</v>
      </c>
      <c r="B372" s="17" t="s">
        <v>74</v>
      </c>
      <c r="C372" s="58">
        <v>3.1055000000000001</v>
      </c>
      <c r="D372" s="59">
        <v>0.3</v>
      </c>
      <c r="E372" s="17" t="s">
        <v>24</v>
      </c>
      <c r="F372" s="17" t="s">
        <v>140</v>
      </c>
      <c r="G372" s="17" t="s">
        <v>302</v>
      </c>
      <c r="H372" s="17" t="s">
        <v>64</v>
      </c>
      <c r="I372" s="17" t="s">
        <v>303</v>
      </c>
    </row>
    <row r="373" spans="1:9" s="108" customFormat="1">
      <c r="A373" s="105" t="s">
        <v>1332</v>
      </c>
      <c r="B373" s="105" t="s">
        <v>55</v>
      </c>
      <c r="C373" s="106">
        <v>2383</v>
      </c>
      <c r="D373" s="107">
        <v>0.2</v>
      </c>
      <c r="E373" s="105" t="s">
        <v>24</v>
      </c>
      <c r="F373" s="105" t="s">
        <v>1099</v>
      </c>
      <c r="G373" s="105"/>
      <c r="H373" s="105" t="s">
        <v>64</v>
      </c>
      <c r="I373" s="105" t="s">
        <v>303</v>
      </c>
    </row>
    <row r="374" spans="1:9" s="108" customFormat="1">
      <c r="A374" s="105" t="s">
        <v>1333</v>
      </c>
      <c r="B374" s="105" t="s">
        <v>55</v>
      </c>
      <c r="C374" s="106">
        <v>202</v>
      </c>
      <c r="D374" s="107">
        <v>0.2</v>
      </c>
      <c r="E374" s="105" t="s">
        <v>24</v>
      </c>
      <c r="F374" s="105" t="s">
        <v>1099</v>
      </c>
      <c r="G374" s="105"/>
      <c r="H374" s="105" t="s">
        <v>64</v>
      </c>
      <c r="I374" s="105" t="s">
        <v>303</v>
      </c>
    </row>
    <row r="375" spans="1:9" s="108" customFormat="1" ht="15.6">
      <c r="A375" s="105" t="s">
        <v>1334</v>
      </c>
      <c r="B375" s="105" t="s">
        <v>74</v>
      </c>
      <c r="C375" s="106">
        <v>7.6284400000000003</v>
      </c>
      <c r="D375" s="109"/>
      <c r="E375" s="105" t="s">
        <v>24</v>
      </c>
      <c r="F375" s="105" t="s">
        <v>1227</v>
      </c>
      <c r="G375" s="105" t="s">
        <v>302</v>
      </c>
      <c r="H375" s="105" t="s">
        <v>64</v>
      </c>
      <c r="I375" s="105" t="s">
        <v>303</v>
      </c>
    </row>
    <row r="376" spans="1:9" ht="15.6">
      <c r="A376" s="17" t="s">
        <v>343</v>
      </c>
      <c r="B376" s="17" t="s">
        <v>74</v>
      </c>
      <c r="C376" s="58">
        <v>8.2847000000000008</v>
      </c>
      <c r="D376" s="59">
        <v>0.3</v>
      </c>
      <c r="E376" s="17" t="s">
        <v>24</v>
      </c>
      <c r="F376" s="17" t="s">
        <v>140</v>
      </c>
      <c r="G376" s="17" t="s">
        <v>302</v>
      </c>
      <c r="H376" s="17" t="s">
        <v>64</v>
      </c>
      <c r="I376" s="17" t="s">
        <v>303</v>
      </c>
    </row>
    <row r="377" spans="1:9" s="108" customFormat="1">
      <c r="A377" s="105" t="s">
        <v>1335</v>
      </c>
      <c r="B377" s="105" t="s">
        <v>74</v>
      </c>
      <c r="C377" s="106">
        <v>4.08256</v>
      </c>
      <c r="D377" s="107"/>
      <c r="E377" s="105" t="s">
        <v>24</v>
      </c>
      <c r="F377" s="105" t="s">
        <v>1227</v>
      </c>
      <c r="G377" s="105"/>
      <c r="H377" s="105" t="s">
        <v>64</v>
      </c>
      <c r="I377" s="105" t="s">
        <v>303</v>
      </c>
    </row>
    <row r="378" spans="1:9" s="108" customFormat="1">
      <c r="A378" s="105" t="s">
        <v>1336</v>
      </c>
      <c r="B378" s="105" t="s">
        <v>74</v>
      </c>
      <c r="C378" s="106">
        <v>3.7993399999999999</v>
      </c>
      <c r="D378" s="107"/>
      <c r="E378" s="105" t="s">
        <v>24</v>
      </c>
      <c r="F378" s="105" t="s">
        <v>1227</v>
      </c>
      <c r="G378" s="105"/>
      <c r="H378" s="105" t="s">
        <v>64</v>
      </c>
      <c r="I378" s="105" t="s">
        <v>303</v>
      </c>
    </row>
    <row r="379" spans="1:9" s="108" customFormat="1" ht="15.6">
      <c r="A379" s="105" t="s">
        <v>344</v>
      </c>
      <c r="B379" s="105" t="s">
        <v>74</v>
      </c>
      <c r="C379" s="106">
        <v>3.1297100000000002</v>
      </c>
      <c r="D379" s="109"/>
      <c r="E379" s="105" t="s">
        <v>24</v>
      </c>
      <c r="F379" s="105" t="s">
        <v>1227</v>
      </c>
      <c r="G379" s="105"/>
      <c r="H379" s="105" t="s">
        <v>64</v>
      </c>
      <c r="I379" s="105" t="s">
        <v>303</v>
      </c>
    </row>
    <row r="380" spans="1:9" s="108" customFormat="1">
      <c r="A380" s="105" t="s">
        <v>1337</v>
      </c>
      <c r="B380" s="105" t="s">
        <v>55</v>
      </c>
      <c r="C380" s="106">
        <v>202</v>
      </c>
      <c r="D380" s="107">
        <v>0.2</v>
      </c>
      <c r="E380" s="105" t="s">
        <v>24</v>
      </c>
      <c r="F380" s="105" t="s">
        <v>1099</v>
      </c>
      <c r="G380" s="105"/>
      <c r="H380" s="105" t="s">
        <v>64</v>
      </c>
      <c r="I380" s="105" t="s">
        <v>303</v>
      </c>
    </row>
    <row r="381" spans="1:9" s="108" customFormat="1">
      <c r="A381" s="105" t="s">
        <v>1338</v>
      </c>
      <c r="B381" s="105" t="s">
        <v>55</v>
      </c>
      <c r="C381" s="106">
        <v>2090</v>
      </c>
      <c r="D381" s="107">
        <v>0.2</v>
      </c>
      <c r="E381" s="105" t="s">
        <v>24</v>
      </c>
      <c r="F381" s="105" t="s">
        <v>1099</v>
      </c>
      <c r="G381" s="105"/>
      <c r="H381" s="105" t="s">
        <v>64</v>
      </c>
      <c r="I381" s="105" t="s">
        <v>303</v>
      </c>
    </row>
    <row r="382" spans="1:9" s="108" customFormat="1">
      <c r="A382" s="105" t="s">
        <v>1339</v>
      </c>
      <c r="B382" s="105" t="s">
        <v>55</v>
      </c>
      <c r="C382" s="106">
        <v>2009.57</v>
      </c>
      <c r="D382" s="107">
        <v>0.2</v>
      </c>
      <c r="E382" s="105" t="s">
        <v>24</v>
      </c>
      <c r="F382" s="105" t="s">
        <v>1227</v>
      </c>
      <c r="G382" s="105"/>
      <c r="H382" s="105" t="s">
        <v>64</v>
      </c>
      <c r="I382" s="105" t="s">
        <v>303</v>
      </c>
    </row>
    <row r="383" spans="1:9" s="108" customFormat="1">
      <c r="A383" s="105" t="s">
        <v>1340</v>
      </c>
      <c r="B383" s="105" t="s">
        <v>55</v>
      </c>
      <c r="C383" s="106">
        <v>202</v>
      </c>
      <c r="D383" s="107">
        <v>0.2</v>
      </c>
      <c r="E383" s="105" t="s">
        <v>24</v>
      </c>
      <c r="F383" s="105" t="s">
        <v>1099</v>
      </c>
      <c r="G383" s="105"/>
      <c r="H383" s="105" t="s">
        <v>64</v>
      </c>
      <c r="I383" s="105" t="s">
        <v>303</v>
      </c>
    </row>
    <row r="384" spans="1:9" s="108" customFormat="1">
      <c r="A384" s="105" t="s">
        <v>1341</v>
      </c>
      <c r="B384" s="105" t="s">
        <v>55</v>
      </c>
      <c r="C384" s="106">
        <v>1920</v>
      </c>
      <c r="D384" s="107">
        <v>0.2</v>
      </c>
      <c r="E384" s="105" t="s">
        <v>24</v>
      </c>
      <c r="F384" s="105" t="s">
        <v>1099</v>
      </c>
      <c r="G384" s="105"/>
      <c r="H384" s="105" t="s">
        <v>64</v>
      </c>
      <c r="I384" s="105" t="s">
        <v>303</v>
      </c>
    </row>
    <row r="385" spans="1:9" ht="15.6">
      <c r="A385" s="17" t="s">
        <v>345</v>
      </c>
      <c r="B385" s="17" t="s">
        <v>74</v>
      </c>
      <c r="C385" s="58">
        <v>3.63</v>
      </c>
      <c r="D385" s="59">
        <v>0.3</v>
      </c>
      <c r="E385" s="17" t="s">
        <v>24</v>
      </c>
      <c r="F385" s="17" t="s">
        <v>140</v>
      </c>
      <c r="G385" s="17" t="s">
        <v>317</v>
      </c>
      <c r="H385" s="17" t="s">
        <v>64</v>
      </c>
      <c r="I385" s="17" t="s">
        <v>303</v>
      </c>
    </row>
    <row r="386" spans="1:9" s="108" customFormat="1" ht="15.6">
      <c r="A386" s="105" t="s">
        <v>1342</v>
      </c>
      <c r="B386" s="105" t="s">
        <v>55</v>
      </c>
      <c r="C386" s="106">
        <v>2000</v>
      </c>
      <c r="D386" s="109">
        <v>1</v>
      </c>
      <c r="E386" s="105" t="s">
        <v>24</v>
      </c>
      <c r="F386" s="105" t="s">
        <v>1099</v>
      </c>
      <c r="G386" s="105"/>
      <c r="H386" s="105" t="s">
        <v>64</v>
      </c>
      <c r="I386" s="105" t="s">
        <v>303</v>
      </c>
    </row>
    <row r="387" spans="1:9" s="108" customFormat="1">
      <c r="A387" s="105" t="s">
        <v>1343</v>
      </c>
      <c r="B387" s="105" t="s">
        <v>55</v>
      </c>
      <c r="C387" s="106">
        <v>2830</v>
      </c>
      <c r="D387" s="107">
        <v>0.2</v>
      </c>
      <c r="E387" s="105" t="s">
        <v>24</v>
      </c>
      <c r="F387" s="105" t="s">
        <v>1099</v>
      </c>
      <c r="G387" s="105"/>
      <c r="H387" s="105" t="s">
        <v>64</v>
      </c>
      <c r="I387" s="105" t="s">
        <v>303</v>
      </c>
    </row>
    <row r="388" spans="1:9" s="108" customFormat="1">
      <c r="A388" s="105" t="s">
        <v>1344</v>
      </c>
      <c r="B388" s="105" t="s">
        <v>74</v>
      </c>
      <c r="C388" s="106">
        <v>3.0066799999999998</v>
      </c>
      <c r="D388" s="107"/>
      <c r="E388" s="105" t="s">
        <v>24</v>
      </c>
      <c r="F388" s="105" t="s">
        <v>1227</v>
      </c>
      <c r="G388" s="105"/>
      <c r="H388" s="105" t="s">
        <v>64</v>
      </c>
      <c r="I388" s="105" t="s">
        <v>303</v>
      </c>
    </row>
    <row r="389" spans="1:9" s="108" customFormat="1">
      <c r="A389" s="105" t="s">
        <v>1345</v>
      </c>
      <c r="B389" s="105" t="s">
        <v>74</v>
      </c>
      <c r="C389" s="106">
        <v>3.7658299999999998</v>
      </c>
      <c r="D389" s="107"/>
      <c r="E389" s="105" t="s">
        <v>24</v>
      </c>
      <c r="F389" s="105" t="s">
        <v>1227</v>
      </c>
      <c r="G389" s="105"/>
      <c r="H389" s="105" t="s">
        <v>64</v>
      </c>
      <c r="I389" s="105" t="s">
        <v>303</v>
      </c>
    </row>
    <row r="390" spans="1:9" ht="15.6">
      <c r="A390" s="17" t="s">
        <v>346</v>
      </c>
      <c r="B390" s="17" t="s">
        <v>74</v>
      </c>
      <c r="C390" s="58">
        <v>1.5183</v>
      </c>
      <c r="D390" s="59">
        <v>0.3</v>
      </c>
      <c r="E390" s="17" t="s">
        <v>24</v>
      </c>
      <c r="F390" s="17" t="s">
        <v>140</v>
      </c>
      <c r="G390" s="17" t="s">
        <v>302</v>
      </c>
      <c r="H390" s="17" t="s">
        <v>64</v>
      </c>
      <c r="I390" s="17" t="s">
        <v>303</v>
      </c>
    </row>
    <row r="391" spans="1:9" s="108" customFormat="1" ht="15.6">
      <c r="A391" s="105" t="s">
        <v>1346</v>
      </c>
      <c r="B391" s="105" t="s">
        <v>74</v>
      </c>
      <c r="C391" s="106">
        <v>5.5289999999999999</v>
      </c>
      <c r="D391" s="109"/>
      <c r="E391" s="105" t="s">
        <v>24</v>
      </c>
      <c r="F391" s="105" t="s">
        <v>1347</v>
      </c>
      <c r="G391" s="105"/>
      <c r="H391" s="105" t="s">
        <v>64</v>
      </c>
      <c r="I391" s="105" t="s">
        <v>303</v>
      </c>
    </row>
    <row r="392" spans="1:9" ht="15.6">
      <c r="A392" s="17" t="s">
        <v>347</v>
      </c>
      <c r="B392" s="17" t="s">
        <v>74</v>
      </c>
      <c r="C392" s="58">
        <v>5.5171999999999999</v>
      </c>
      <c r="D392" s="59">
        <v>0.3</v>
      </c>
      <c r="E392" s="17" t="s">
        <v>24</v>
      </c>
      <c r="F392" s="17" t="s">
        <v>140</v>
      </c>
      <c r="G392" s="17" t="s">
        <v>302</v>
      </c>
      <c r="H392" s="17" t="s">
        <v>64</v>
      </c>
      <c r="I392" s="17" t="s">
        <v>303</v>
      </c>
    </row>
    <row r="393" spans="1:9" ht="15.6">
      <c r="A393" s="17" t="s">
        <v>348</v>
      </c>
      <c r="B393" s="17" t="s">
        <v>74</v>
      </c>
      <c r="C393" s="58">
        <v>5.5890000000000004</v>
      </c>
      <c r="D393" s="59">
        <v>0.3</v>
      </c>
      <c r="E393" s="17" t="s">
        <v>24</v>
      </c>
      <c r="F393" s="17" t="s">
        <v>140</v>
      </c>
      <c r="G393" s="17" t="s">
        <v>302</v>
      </c>
      <c r="H393" s="17" t="s">
        <v>64</v>
      </c>
      <c r="I393" s="17" t="s">
        <v>303</v>
      </c>
    </row>
    <row r="394" spans="1:9" s="108" customFormat="1" ht="15.6">
      <c r="A394" s="105" t="s">
        <v>1348</v>
      </c>
      <c r="B394" s="105" t="s">
        <v>74</v>
      </c>
      <c r="C394" s="106">
        <v>11.9146</v>
      </c>
      <c r="D394" s="109"/>
      <c r="E394" s="105" t="s">
        <v>24</v>
      </c>
      <c r="F394" s="105" t="s">
        <v>1227</v>
      </c>
      <c r="G394" s="105"/>
      <c r="H394" s="105" t="s">
        <v>64</v>
      </c>
      <c r="I394" s="105" t="s">
        <v>303</v>
      </c>
    </row>
    <row r="395" spans="1:9" ht="15.6">
      <c r="A395" s="17" t="s">
        <v>349</v>
      </c>
      <c r="B395" s="17" t="s">
        <v>74</v>
      </c>
      <c r="C395" s="58">
        <v>309.99</v>
      </c>
      <c r="D395" s="59">
        <v>0.3</v>
      </c>
      <c r="E395" s="17" t="s">
        <v>24</v>
      </c>
      <c r="F395" s="17" t="s">
        <v>140</v>
      </c>
      <c r="G395" s="17" t="s">
        <v>302</v>
      </c>
      <c r="H395" s="17" t="s">
        <v>64</v>
      </c>
      <c r="I395" s="17" t="s">
        <v>303</v>
      </c>
    </row>
    <row r="396" spans="1:9" s="108" customFormat="1">
      <c r="A396" s="105" t="s">
        <v>350</v>
      </c>
      <c r="B396" s="105" t="s">
        <v>55</v>
      </c>
      <c r="C396" s="106">
        <v>403</v>
      </c>
      <c r="D396" s="107">
        <v>0.2</v>
      </c>
      <c r="E396" s="105" t="s">
        <v>24</v>
      </c>
      <c r="F396" s="105" t="s">
        <v>1099</v>
      </c>
      <c r="G396" s="105"/>
      <c r="H396" s="105" t="s">
        <v>64</v>
      </c>
      <c r="I396" s="105" t="s">
        <v>303</v>
      </c>
    </row>
    <row r="397" spans="1:9" s="108" customFormat="1">
      <c r="A397" s="105" t="s">
        <v>100</v>
      </c>
      <c r="B397" s="105" t="s">
        <v>55</v>
      </c>
      <c r="C397" s="106">
        <v>1870</v>
      </c>
      <c r="D397" s="107">
        <v>0.2</v>
      </c>
      <c r="E397" s="105" t="s">
        <v>24</v>
      </c>
      <c r="F397" s="105" t="s">
        <v>1099</v>
      </c>
      <c r="G397" s="105"/>
      <c r="H397" s="105" t="s">
        <v>64</v>
      </c>
      <c r="I397" s="105" t="s">
        <v>303</v>
      </c>
    </row>
    <row r="398" spans="1:9" ht="15.6">
      <c r="A398" s="17" t="s">
        <v>351</v>
      </c>
      <c r="B398" s="17" t="s">
        <v>74</v>
      </c>
      <c r="C398" s="58">
        <v>4.8615000000000004</v>
      </c>
      <c r="D398" s="59">
        <v>0.3</v>
      </c>
      <c r="E398" s="17" t="s">
        <v>24</v>
      </c>
      <c r="F398" s="17" t="s">
        <v>140</v>
      </c>
      <c r="G398" s="17" t="s">
        <v>302</v>
      </c>
      <c r="H398" s="17" t="s">
        <v>64</v>
      </c>
      <c r="I398" s="17" t="s">
        <v>303</v>
      </c>
    </row>
    <row r="399" spans="1:9" ht="15.6">
      <c r="A399" s="17" t="s">
        <v>352</v>
      </c>
      <c r="B399" s="17" t="s">
        <v>74</v>
      </c>
      <c r="C399" s="58">
        <v>18.131</v>
      </c>
      <c r="D399" s="59">
        <v>0.3</v>
      </c>
      <c r="E399" s="17" t="s">
        <v>24</v>
      </c>
      <c r="F399" s="17" t="s">
        <v>140</v>
      </c>
      <c r="G399" s="17" t="s">
        <v>302</v>
      </c>
      <c r="H399" s="17" t="s">
        <v>64</v>
      </c>
      <c r="I399" s="17" t="s">
        <v>303</v>
      </c>
    </row>
    <row r="400" spans="1:9" s="108" customFormat="1">
      <c r="A400" s="105" t="s">
        <v>353</v>
      </c>
      <c r="B400" s="105" t="s">
        <v>354</v>
      </c>
      <c r="C400" s="106">
        <v>5.5547440000000003</v>
      </c>
      <c r="D400" s="107">
        <v>0.1</v>
      </c>
      <c r="E400" s="105" t="s">
        <v>24</v>
      </c>
      <c r="F400" s="105" t="s">
        <v>1201</v>
      </c>
      <c r="G400" s="105"/>
      <c r="H400" s="105" t="s">
        <v>64</v>
      </c>
      <c r="I400" s="105" t="s">
        <v>303</v>
      </c>
    </row>
    <row r="401" spans="1:9" s="108" customFormat="1" ht="15.6">
      <c r="A401" s="105" t="s">
        <v>1349</v>
      </c>
      <c r="B401" s="105" t="s">
        <v>74</v>
      </c>
      <c r="C401" s="106">
        <v>3.8614199999999999</v>
      </c>
      <c r="D401" s="109"/>
      <c r="E401" s="105" t="s">
        <v>24</v>
      </c>
      <c r="F401" s="105" t="s">
        <v>1227</v>
      </c>
      <c r="G401" s="105"/>
      <c r="H401" s="105" t="s">
        <v>64</v>
      </c>
      <c r="I401" s="105" t="s">
        <v>303</v>
      </c>
    </row>
    <row r="402" spans="1:9" s="108" customFormat="1" ht="15.6">
      <c r="A402" s="105" t="s">
        <v>1350</v>
      </c>
      <c r="B402" s="105" t="s">
        <v>74</v>
      </c>
      <c r="C402" s="106">
        <v>3.6166299999999998</v>
      </c>
      <c r="D402" s="109">
        <v>0.3</v>
      </c>
      <c r="E402" s="105" t="s">
        <v>24</v>
      </c>
      <c r="F402" s="105" t="s">
        <v>1227</v>
      </c>
      <c r="G402" s="105"/>
      <c r="H402" s="105" t="s">
        <v>64</v>
      </c>
      <c r="I402" s="105" t="s">
        <v>303</v>
      </c>
    </row>
    <row r="403" spans="1:9" ht="15.6">
      <c r="A403" s="17" t="s">
        <v>355</v>
      </c>
      <c r="B403" s="17" t="s">
        <v>74</v>
      </c>
      <c r="C403" s="58">
        <v>2.89</v>
      </c>
      <c r="D403" s="59">
        <v>0.3</v>
      </c>
      <c r="E403" s="17" t="s">
        <v>24</v>
      </c>
      <c r="F403" s="17" t="s">
        <v>140</v>
      </c>
      <c r="G403" s="17" t="s">
        <v>356</v>
      </c>
      <c r="H403" s="17" t="s">
        <v>64</v>
      </c>
      <c r="I403" s="17" t="s">
        <v>303</v>
      </c>
    </row>
    <row r="404" spans="1:9" ht="15.6">
      <c r="A404" s="17" t="s">
        <v>357</v>
      </c>
      <c r="B404" s="17" t="s">
        <v>74</v>
      </c>
      <c r="C404" s="58">
        <v>2.8374000000000001</v>
      </c>
      <c r="D404" s="59">
        <v>0.3</v>
      </c>
      <c r="E404" s="17" t="s">
        <v>24</v>
      </c>
      <c r="F404" s="17" t="s">
        <v>140</v>
      </c>
      <c r="G404" s="17" t="s">
        <v>317</v>
      </c>
      <c r="H404" s="17" t="s">
        <v>64</v>
      </c>
      <c r="I404" s="17" t="s">
        <v>303</v>
      </c>
    </row>
    <row r="405" spans="1:9">
      <c r="A405" s="17"/>
      <c r="B405" s="17"/>
      <c r="C405" s="17"/>
      <c r="D405" s="57"/>
      <c r="E405" s="17" t="s">
        <v>24</v>
      </c>
      <c r="F405" s="17"/>
      <c r="G405" s="17"/>
      <c r="H405" s="17"/>
      <c r="I405" s="17"/>
    </row>
    <row r="406" spans="1:9">
      <c r="A406" s="17" t="s">
        <v>76</v>
      </c>
      <c r="B406" s="17"/>
      <c r="C406" s="17"/>
      <c r="D406" s="57"/>
      <c r="E406" s="17" t="s">
        <v>24</v>
      </c>
      <c r="F406" s="17"/>
      <c r="G406" s="17"/>
      <c r="H406" s="17"/>
      <c r="I406" s="17"/>
    </row>
    <row r="407" spans="1:9" s="108" customFormat="1" ht="15.6">
      <c r="A407" s="105" t="s">
        <v>77</v>
      </c>
      <c r="B407" s="106" t="s">
        <v>59</v>
      </c>
      <c r="C407" s="106">
        <v>9.51</v>
      </c>
      <c r="D407" s="109"/>
      <c r="E407" s="105" t="s">
        <v>24</v>
      </c>
      <c r="F407" s="111" t="s">
        <v>144</v>
      </c>
      <c r="G407" s="105" t="s">
        <v>1351</v>
      </c>
      <c r="H407" s="105" t="s">
        <v>64</v>
      </c>
      <c r="I407" s="105" t="s">
        <v>75</v>
      </c>
    </row>
    <row r="408" spans="1:9" s="108" customFormat="1" ht="15.6">
      <c r="A408" s="105" t="s">
        <v>82</v>
      </c>
      <c r="B408" s="106" t="s">
        <v>59</v>
      </c>
      <c r="C408" s="106">
        <v>5.5</v>
      </c>
      <c r="D408" s="109"/>
      <c r="E408" s="105" t="s">
        <v>24</v>
      </c>
      <c r="F408" s="111" t="s">
        <v>144</v>
      </c>
      <c r="G408" s="105" t="s">
        <v>1352</v>
      </c>
      <c r="H408" s="105" t="s">
        <v>64</v>
      </c>
      <c r="I408" s="105" t="s">
        <v>75</v>
      </c>
    </row>
    <row r="409" spans="1:9" s="108" customFormat="1" ht="15.6">
      <c r="A409" s="105" t="s">
        <v>1353</v>
      </c>
      <c r="B409" s="106" t="s">
        <v>59</v>
      </c>
      <c r="C409" s="106">
        <f>0.15446/(1/0.064)*1000</f>
        <v>9.8854399999999991</v>
      </c>
      <c r="D409" s="109"/>
      <c r="E409" s="105" t="s">
        <v>24</v>
      </c>
      <c r="F409" s="107" t="s">
        <v>1105</v>
      </c>
      <c r="G409" s="105" t="s">
        <v>1352</v>
      </c>
      <c r="H409" s="105" t="s">
        <v>64</v>
      </c>
      <c r="I409" s="105" t="s">
        <v>75</v>
      </c>
    </row>
    <row r="410" spans="1:9" ht="15.6">
      <c r="A410" s="17" t="s">
        <v>358</v>
      </c>
      <c r="B410" s="17" t="s">
        <v>59</v>
      </c>
      <c r="C410" s="58">
        <v>151.54</v>
      </c>
      <c r="D410" s="59">
        <v>0.3</v>
      </c>
      <c r="E410" s="17" t="s">
        <v>24</v>
      </c>
      <c r="F410" s="17" t="s">
        <v>140</v>
      </c>
      <c r="G410" s="17" t="s">
        <v>359</v>
      </c>
      <c r="H410" s="17" t="s">
        <v>64</v>
      </c>
      <c r="I410" s="17" t="s">
        <v>75</v>
      </c>
    </row>
    <row r="411" spans="1:9" s="108" customFormat="1" ht="15.6">
      <c r="A411" s="105" t="s">
        <v>360</v>
      </c>
      <c r="B411" s="106" t="s">
        <v>59</v>
      </c>
      <c r="C411" s="106">
        <v>28.3</v>
      </c>
      <c r="D411" s="109"/>
      <c r="E411" s="105" t="s">
        <v>24</v>
      </c>
      <c r="F411" s="111" t="s">
        <v>144</v>
      </c>
      <c r="G411" s="105" t="s">
        <v>1354</v>
      </c>
      <c r="H411" s="105" t="s">
        <v>64</v>
      </c>
      <c r="I411" s="105" t="s">
        <v>75</v>
      </c>
    </row>
    <row r="412" spans="1:9" s="108" customFormat="1" ht="15.6">
      <c r="A412" s="105" t="s">
        <v>361</v>
      </c>
      <c r="B412" s="105" t="s">
        <v>59</v>
      </c>
      <c r="C412" s="106">
        <v>183</v>
      </c>
      <c r="D412" s="109"/>
      <c r="E412" s="105" t="s">
        <v>24</v>
      </c>
      <c r="F412" s="105" t="s">
        <v>144</v>
      </c>
      <c r="G412" s="105" t="s">
        <v>1355</v>
      </c>
      <c r="H412" s="105" t="s">
        <v>64</v>
      </c>
      <c r="I412" s="105" t="s">
        <v>75</v>
      </c>
    </row>
    <row r="413" spans="1:9" s="108" customFormat="1" ht="15.6">
      <c r="A413" s="105" t="s">
        <v>1356</v>
      </c>
      <c r="B413" s="105" t="s">
        <v>59</v>
      </c>
      <c r="C413" s="106">
        <v>129</v>
      </c>
      <c r="D413" s="109"/>
      <c r="E413" s="105" t="s">
        <v>24</v>
      </c>
      <c r="F413" s="105" t="s">
        <v>144</v>
      </c>
      <c r="G413" s="105" t="s">
        <v>1357</v>
      </c>
      <c r="H413" s="105" t="s">
        <v>64</v>
      </c>
      <c r="I413" s="105" t="s">
        <v>75</v>
      </c>
    </row>
    <row r="414" spans="1:9" s="108" customFormat="1" ht="15.6">
      <c r="A414" s="105" t="s">
        <v>1358</v>
      </c>
      <c r="B414" s="105" t="s">
        <v>59</v>
      </c>
      <c r="C414" s="106">
        <v>154</v>
      </c>
      <c r="D414" s="109"/>
      <c r="E414" s="105" t="s">
        <v>24</v>
      </c>
      <c r="F414" s="105" t="s">
        <v>144</v>
      </c>
      <c r="G414" s="105" t="s">
        <v>1357</v>
      </c>
      <c r="H414" s="105" t="s">
        <v>64</v>
      </c>
      <c r="I414" s="105" t="s">
        <v>75</v>
      </c>
    </row>
    <row r="415" spans="1:9" s="108" customFormat="1" ht="15.6">
      <c r="A415" s="105" t="s">
        <v>1359</v>
      </c>
      <c r="B415" s="105" t="s">
        <v>59</v>
      </c>
      <c r="C415" s="106">
        <v>61.9</v>
      </c>
      <c r="D415" s="109"/>
      <c r="E415" s="105" t="s">
        <v>24</v>
      </c>
      <c r="F415" s="105" t="s">
        <v>144</v>
      </c>
      <c r="G415" s="105" t="s">
        <v>1360</v>
      </c>
      <c r="H415" s="105" t="s">
        <v>64</v>
      </c>
      <c r="I415" s="105" t="s">
        <v>75</v>
      </c>
    </row>
    <row r="416" spans="1:9" s="108" customFormat="1" ht="15.6">
      <c r="A416" s="105" t="s">
        <v>1361</v>
      </c>
      <c r="B416" s="105" t="s">
        <v>59</v>
      </c>
      <c r="C416" s="106">
        <v>82.2</v>
      </c>
      <c r="D416" s="109"/>
      <c r="E416" s="105" t="s">
        <v>24</v>
      </c>
      <c r="F416" s="105" t="s">
        <v>144</v>
      </c>
      <c r="G416" s="105" t="s">
        <v>1360</v>
      </c>
      <c r="H416" s="105" t="s">
        <v>64</v>
      </c>
      <c r="I416" s="105" t="s">
        <v>75</v>
      </c>
    </row>
    <row r="417" spans="1:9" s="108" customFormat="1" ht="15.6">
      <c r="A417" s="105" t="s">
        <v>1362</v>
      </c>
      <c r="B417" s="105" t="s">
        <v>59</v>
      </c>
      <c r="C417" s="106">
        <v>75.400000000000006</v>
      </c>
      <c r="D417" s="109"/>
      <c r="E417" s="105" t="s">
        <v>24</v>
      </c>
      <c r="F417" s="105" t="s">
        <v>144</v>
      </c>
      <c r="G417" s="105" t="s">
        <v>1363</v>
      </c>
      <c r="H417" s="105" t="s">
        <v>64</v>
      </c>
      <c r="I417" s="105" t="s">
        <v>75</v>
      </c>
    </row>
    <row r="418" spans="1:9" s="108" customFormat="1" ht="15.6">
      <c r="A418" s="105" t="s">
        <v>1364</v>
      </c>
      <c r="B418" s="105" t="s">
        <v>59</v>
      </c>
      <c r="C418" s="106">
        <v>99.8</v>
      </c>
      <c r="D418" s="109"/>
      <c r="E418" s="105" t="s">
        <v>24</v>
      </c>
      <c r="F418" s="105" t="s">
        <v>144</v>
      </c>
      <c r="G418" s="105" t="s">
        <v>1363</v>
      </c>
      <c r="H418" s="105" t="s">
        <v>64</v>
      </c>
      <c r="I418" s="105" t="s">
        <v>75</v>
      </c>
    </row>
    <row r="419" spans="1:9" s="108" customFormat="1" ht="15.6">
      <c r="A419" s="105" t="s">
        <v>1365</v>
      </c>
      <c r="B419" s="105" t="s">
        <v>59</v>
      </c>
      <c r="C419" s="106">
        <v>113</v>
      </c>
      <c r="D419" s="109"/>
      <c r="E419" s="105" t="s">
        <v>24</v>
      </c>
      <c r="F419" s="105" t="s">
        <v>144</v>
      </c>
      <c r="G419" s="105" t="s">
        <v>1366</v>
      </c>
      <c r="H419" s="105" t="s">
        <v>64</v>
      </c>
      <c r="I419" s="105" t="s">
        <v>75</v>
      </c>
    </row>
    <row r="420" spans="1:9" ht="15.6">
      <c r="A420" s="17" t="s">
        <v>362</v>
      </c>
      <c r="B420" s="17" t="s">
        <v>59</v>
      </c>
      <c r="C420" s="58">
        <v>245.01</v>
      </c>
      <c r="D420" s="59">
        <v>0.3</v>
      </c>
      <c r="E420" s="17" t="s">
        <v>24</v>
      </c>
      <c r="F420" s="17" t="s">
        <v>140</v>
      </c>
      <c r="G420" s="17" t="s">
        <v>363</v>
      </c>
      <c r="H420" s="17" t="s">
        <v>64</v>
      </c>
      <c r="I420" s="17" t="s">
        <v>75</v>
      </c>
    </row>
    <row r="421" spans="1:9">
      <c r="A421" s="17" t="s">
        <v>364</v>
      </c>
      <c r="B421" s="17" t="s">
        <v>59</v>
      </c>
      <c r="C421" s="58">
        <v>183.33333333333331</v>
      </c>
      <c r="D421" s="57">
        <v>0.3</v>
      </c>
      <c r="E421" s="17" t="s">
        <v>24</v>
      </c>
      <c r="F421" s="17" t="s">
        <v>135</v>
      </c>
      <c r="G421" s="17"/>
      <c r="H421" s="17" t="s">
        <v>64</v>
      </c>
      <c r="I421" s="17" t="s">
        <v>75</v>
      </c>
    </row>
    <row r="422" spans="1:9">
      <c r="A422" s="17" t="s">
        <v>85</v>
      </c>
      <c r="B422" s="17" t="s">
        <v>55</v>
      </c>
      <c r="C422" s="58">
        <v>22</v>
      </c>
      <c r="D422" s="57">
        <v>0.1</v>
      </c>
      <c r="E422" s="17" t="s">
        <v>24</v>
      </c>
      <c r="F422" s="17" t="s">
        <v>135</v>
      </c>
      <c r="G422" s="17"/>
      <c r="H422" s="17" t="s">
        <v>64</v>
      </c>
      <c r="I422" s="17" t="s">
        <v>75</v>
      </c>
    </row>
    <row r="423" spans="1:9" ht="15.6">
      <c r="A423" s="17" t="s">
        <v>365</v>
      </c>
      <c r="B423" s="17" t="s">
        <v>59</v>
      </c>
      <c r="C423" s="58">
        <v>3.95</v>
      </c>
      <c r="D423" s="59">
        <v>0.3</v>
      </c>
      <c r="E423" s="17" t="s">
        <v>24</v>
      </c>
      <c r="F423" s="17" t="s">
        <v>183</v>
      </c>
      <c r="G423" s="17"/>
      <c r="H423" s="17" t="s">
        <v>64</v>
      </c>
      <c r="I423" s="17" t="s">
        <v>75</v>
      </c>
    </row>
    <row r="424" spans="1:9">
      <c r="A424" s="17" t="s">
        <v>366</v>
      </c>
      <c r="B424" s="17" t="s">
        <v>55</v>
      </c>
      <c r="C424" s="58">
        <v>10596.666666666666</v>
      </c>
      <c r="D424" s="57">
        <v>0.3</v>
      </c>
      <c r="E424" s="17" t="s">
        <v>24</v>
      </c>
      <c r="F424" s="17" t="s">
        <v>135</v>
      </c>
      <c r="G424" s="17"/>
      <c r="H424" s="17" t="s">
        <v>64</v>
      </c>
      <c r="I424" s="17" t="s">
        <v>75</v>
      </c>
    </row>
    <row r="425" spans="1:9" ht="15.6">
      <c r="A425" s="17" t="s">
        <v>367</v>
      </c>
      <c r="B425" s="58" t="s">
        <v>59</v>
      </c>
      <c r="C425" s="58">
        <v>8.1803766000000007</v>
      </c>
      <c r="D425" s="59">
        <v>0.3</v>
      </c>
      <c r="E425" s="17" t="s">
        <v>24</v>
      </c>
      <c r="F425" s="17" t="s">
        <v>144</v>
      </c>
      <c r="G425" s="17" t="s">
        <v>368</v>
      </c>
      <c r="H425" s="17" t="s">
        <v>64</v>
      </c>
      <c r="I425" s="17" t="s">
        <v>75</v>
      </c>
    </row>
    <row r="426" spans="1:9" s="108" customFormat="1">
      <c r="A426" s="105" t="s">
        <v>1367</v>
      </c>
      <c r="B426" s="105" t="s">
        <v>59</v>
      </c>
      <c r="C426" s="106">
        <f>0.14*0.14688*1000</f>
        <v>20.563200000000002</v>
      </c>
      <c r="D426" s="107"/>
      <c r="E426" s="105" t="s">
        <v>24</v>
      </c>
      <c r="F426" s="105" t="s">
        <v>1105</v>
      </c>
      <c r="G426" s="115"/>
      <c r="H426" s="105" t="s">
        <v>64</v>
      </c>
      <c r="I426" s="105" t="s">
        <v>75</v>
      </c>
    </row>
    <row r="427" spans="1:9" s="108" customFormat="1">
      <c r="A427" s="105" t="s">
        <v>1368</v>
      </c>
      <c r="B427" s="105" t="s">
        <v>59</v>
      </c>
      <c r="C427" s="106">
        <f>0.141*0.06907*1000</f>
        <v>9.7388700000000004</v>
      </c>
      <c r="D427" s="107"/>
      <c r="E427" s="105" t="s">
        <v>24</v>
      </c>
      <c r="F427" s="105" t="s">
        <v>1105</v>
      </c>
      <c r="G427" s="115"/>
      <c r="H427" s="105" t="s">
        <v>64</v>
      </c>
      <c r="I427" s="105" t="s">
        <v>75</v>
      </c>
    </row>
    <row r="428" spans="1:9" s="108" customFormat="1">
      <c r="A428" s="105" t="s">
        <v>1369</v>
      </c>
      <c r="B428" s="105" t="s">
        <v>59</v>
      </c>
      <c r="C428" s="106">
        <f>0.201*0.06907*1000</f>
        <v>13.883070000000002</v>
      </c>
      <c r="D428" s="107"/>
      <c r="E428" s="105" t="s">
        <v>24</v>
      </c>
      <c r="F428" s="105" t="s">
        <v>1105</v>
      </c>
      <c r="G428" s="115"/>
      <c r="H428" s="105" t="s">
        <v>64</v>
      </c>
      <c r="I428" s="105" t="s">
        <v>75</v>
      </c>
    </row>
    <row r="429" spans="1:9" s="108" customFormat="1">
      <c r="A429" s="105" t="s">
        <v>1370</v>
      </c>
      <c r="B429" s="105" t="s">
        <v>59</v>
      </c>
      <c r="C429" s="106">
        <f>0.282*0.06907*1000</f>
        <v>19.477740000000001</v>
      </c>
      <c r="D429" s="107"/>
      <c r="E429" s="105" t="s">
        <v>24</v>
      </c>
      <c r="F429" s="105" t="s">
        <v>1105</v>
      </c>
      <c r="G429" s="115"/>
      <c r="H429" s="105" t="s">
        <v>64</v>
      </c>
      <c r="I429" s="105" t="s">
        <v>75</v>
      </c>
    </row>
    <row r="430" spans="1:9" s="108" customFormat="1" ht="15.6">
      <c r="A430" s="105" t="s">
        <v>1371</v>
      </c>
      <c r="B430" s="105" t="s">
        <v>59</v>
      </c>
      <c r="C430" s="106">
        <v>669</v>
      </c>
      <c r="D430" s="109"/>
      <c r="E430" s="105" t="s">
        <v>24</v>
      </c>
      <c r="F430" s="105" t="s">
        <v>144</v>
      </c>
      <c r="G430" s="105" t="s">
        <v>1372</v>
      </c>
      <c r="H430" s="105" t="s">
        <v>64</v>
      </c>
      <c r="I430" s="105" t="s">
        <v>75</v>
      </c>
    </row>
    <row r="431" spans="1:9" s="108" customFormat="1" ht="15.6">
      <c r="A431" s="105" t="s">
        <v>1373</v>
      </c>
      <c r="B431" s="105" t="s">
        <v>59</v>
      </c>
      <c r="C431" s="106">
        <v>713</v>
      </c>
      <c r="D431" s="109"/>
      <c r="E431" s="105" t="s">
        <v>24</v>
      </c>
      <c r="F431" s="105" t="s">
        <v>144</v>
      </c>
      <c r="G431" s="105" t="s">
        <v>1374</v>
      </c>
      <c r="H431" s="105" t="s">
        <v>64</v>
      </c>
      <c r="I431" s="105" t="s">
        <v>75</v>
      </c>
    </row>
    <row r="432" spans="1:9" s="108" customFormat="1" ht="15.6">
      <c r="A432" s="105" t="s">
        <v>369</v>
      </c>
      <c r="B432" s="105" t="s">
        <v>59</v>
      </c>
      <c r="C432" s="106">
        <v>55.9</v>
      </c>
      <c r="D432" s="109">
        <v>0.4</v>
      </c>
      <c r="E432" s="105" t="s">
        <v>24</v>
      </c>
      <c r="F432" s="105" t="s">
        <v>144</v>
      </c>
      <c r="G432" s="105" t="s">
        <v>1375</v>
      </c>
      <c r="H432" s="105" t="s">
        <v>64</v>
      </c>
      <c r="I432" s="105" t="s">
        <v>75</v>
      </c>
    </row>
    <row r="433" spans="1:9" ht="15.6">
      <c r="A433" s="17" t="s">
        <v>370</v>
      </c>
      <c r="B433" s="17" t="s">
        <v>59</v>
      </c>
      <c r="C433" s="58">
        <v>89.346000000000004</v>
      </c>
      <c r="D433" s="59">
        <v>0.3</v>
      </c>
      <c r="E433" s="17" t="s">
        <v>24</v>
      </c>
      <c r="F433" s="17" t="s">
        <v>140</v>
      </c>
      <c r="G433" s="17" t="s">
        <v>371</v>
      </c>
      <c r="H433" s="17" t="s">
        <v>64</v>
      </c>
      <c r="I433" s="17" t="s">
        <v>75</v>
      </c>
    </row>
    <row r="434" spans="1:9" ht="15.6">
      <c r="A434" s="17" t="s">
        <v>372</v>
      </c>
      <c r="B434" s="17" t="s">
        <v>59</v>
      </c>
      <c r="C434" s="58">
        <v>36.655999999999999</v>
      </c>
      <c r="D434" s="59">
        <v>0.3</v>
      </c>
      <c r="E434" s="17" t="s">
        <v>24</v>
      </c>
      <c r="F434" s="17" t="s">
        <v>140</v>
      </c>
      <c r="G434" s="17" t="s">
        <v>373</v>
      </c>
      <c r="H434" s="17" t="s">
        <v>64</v>
      </c>
      <c r="I434" s="17" t="s">
        <v>75</v>
      </c>
    </row>
    <row r="435" spans="1:9" ht="15.6">
      <c r="A435" s="17" t="s">
        <v>374</v>
      </c>
      <c r="B435" s="17" t="s">
        <v>59</v>
      </c>
      <c r="C435" s="58">
        <v>48.457999999999998</v>
      </c>
      <c r="D435" s="59">
        <v>0.3</v>
      </c>
      <c r="E435" s="17" t="s">
        <v>24</v>
      </c>
      <c r="F435" s="17" t="s">
        <v>140</v>
      </c>
      <c r="G435" s="17" t="s">
        <v>373</v>
      </c>
      <c r="H435" s="17" t="s">
        <v>64</v>
      </c>
      <c r="I435" s="17" t="s">
        <v>75</v>
      </c>
    </row>
    <row r="436" spans="1:9" ht="15.6">
      <c r="A436" s="17" t="s">
        <v>374</v>
      </c>
      <c r="B436" s="17" t="s">
        <v>59</v>
      </c>
      <c r="C436" s="58">
        <v>48.457999999999998</v>
      </c>
      <c r="D436" s="59">
        <v>0.3</v>
      </c>
      <c r="E436" s="17" t="s">
        <v>24</v>
      </c>
      <c r="F436" s="17" t="s">
        <v>140</v>
      </c>
      <c r="G436" s="17" t="s">
        <v>373</v>
      </c>
      <c r="H436" s="17" t="s">
        <v>64</v>
      </c>
      <c r="I436" s="17" t="s">
        <v>75</v>
      </c>
    </row>
    <row r="437" spans="1:9" ht="15.6">
      <c r="A437" s="17" t="s">
        <v>375</v>
      </c>
      <c r="B437" s="58" t="s">
        <v>59</v>
      </c>
      <c r="C437" s="58">
        <v>7.1109126000000016</v>
      </c>
      <c r="D437" s="59">
        <v>0.3</v>
      </c>
      <c r="E437" s="17" t="s">
        <v>24</v>
      </c>
      <c r="F437" s="17" t="s">
        <v>144</v>
      </c>
      <c r="G437" s="17" t="s">
        <v>376</v>
      </c>
      <c r="H437" s="17" t="s">
        <v>64</v>
      </c>
      <c r="I437" s="17" t="s">
        <v>75</v>
      </c>
    </row>
    <row r="438" spans="1:9" ht="15.6">
      <c r="A438" s="17" t="s">
        <v>80</v>
      </c>
      <c r="B438" s="58" t="s">
        <v>59</v>
      </c>
      <c r="C438" s="58">
        <v>18.371403600000001</v>
      </c>
      <c r="D438" s="59">
        <v>0.3</v>
      </c>
      <c r="E438" s="17" t="s">
        <v>24</v>
      </c>
      <c r="F438" s="17" t="s">
        <v>144</v>
      </c>
      <c r="G438" s="17" t="s">
        <v>377</v>
      </c>
      <c r="H438" s="17" t="s">
        <v>64</v>
      </c>
      <c r="I438" s="17" t="s">
        <v>75</v>
      </c>
    </row>
    <row r="439" spans="1:9" ht="15.6">
      <c r="A439" s="17" t="s">
        <v>378</v>
      </c>
      <c r="B439" s="58" t="s">
        <v>59</v>
      </c>
      <c r="C439" s="58">
        <v>5.5258830000000012</v>
      </c>
      <c r="D439" s="59">
        <v>0.3</v>
      </c>
      <c r="E439" s="17" t="s">
        <v>24</v>
      </c>
      <c r="F439" s="17" t="s">
        <v>144</v>
      </c>
      <c r="G439" s="17" t="s">
        <v>379</v>
      </c>
      <c r="H439" s="17" t="s">
        <v>64</v>
      </c>
      <c r="I439" s="17" t="s">
        <v>75</v>
      </c>
    </row>
    <row r="440" spans="1:9" s="108" customFormat="1" ht="15.6">
      <c r="A440" s="105" t="s">
        <v>1376</v>
      </c>
      <c r="B440" s="106" t="s">
        <v>59</v>
      </c>
      <c r="C440" s="106">
        <v>6.24</v>
      </c>
      <c r="D440" s="109"/>
      <c r="E440" s="105" t="s">
        <v>24</v>
      </c>
      <c r="F440" s="111" t="s">
        <v>144</v>
      </c>
      <c r="G440" s="105" t="s">
        <v>1377</v>
      </c>
      <c r="H440" s="105" t="s">
        <v>64</v>
      </c>
      <c r="I440" s="105" t="s">
        <v>75</v>
      </c>
    </row>
    <row r="441" spans="1:9" s="108" customFormat="1" ht="15.6">
      <c r="A441" s="105" t="s">
        <v>1378</v>
      </c>
      <c r="B441" s="106" t="s">
        <v>59</v>
      </c>
      <c r="C441" s="106">
        <v>9.27</v>
      </c>
      <c r="D441" s="109"/>
      <c r="E441" s="105" t="s">
        <v>24</v>
      </c>
      <c r="F441" s="111" t="s">
        <v>144</v>
      </c>
      <c r="G441" s="105" t="s">
        <v>1379</v>
      </c>
      <c r="H441" s="105" t="s">
        <v>64</v>
      </c>
      <c r="I441" s="105" t="s">
        <v>75</v>
      </c>
    </row>
    <row r="442" spans="1:9" s="108" customFormat="1" ht="15.6">
      <c r="A442" s="105" t="s">
        <v>1380</v>
      </c>
      <c r="B442" s="106" t="s">
        <v>59</v>
      </c>
      <c r="C442" s="106">
        <v>6.9</v>
      </c>
      <c r="D442" s="109"/>
      <c r="E442" s="105" t="s">
        <v>24</v>
      </c>
      <c r="F442" s="111" t="s">
        <v>144</v>
      </c>
      <c r="G442" s="105" t="s">
        <v>1381</v>
      </c>
      <c r="H442" s="105" t="s">
        <v>64</v>
      </c>
      <c r="I442" s="105" t="s">
        <v>75</v>
      </c>
    </row>
    <row r="443" spans="1:9" s="108" customFormat="1" ht="15.6">
      <c r="A443" s="105" t="s">
        <v>1382</v>
      </c>
      <c r="B443" s="105" t="s">
        <v>74</v>
      </c>
      <c r="C443" s="106">
        <v>1.6255999999999999</v>
      </c>
      <c r="D443" s="109"/>
      <c r="E443" s="105" t="s">
        <v>24</v>
      </c>
      <c r="F443" s="105" t="s">
        <v>1134</v>
      </c>
      <c r="G443" s="105"/>
      <c r="H443" s="105" t="s">
        <v>64</v>
      </c>
      <c r="I443" s="105" t="s">
        <v>75</v>
      </c>
    </row>
    <row r="444" spans="1:9" s="108" customFormat="1" ht="15.6">
      <c r="A444" s="105" t="s">
        <v>1383</v>
      </c>
      <c r="B444" s="105" t="s">
        <v>59</v>
      </c>
      <c r="C444" s="106">
        <v>32.512</v>
      </c>
      <c r="D444" s="109"/>
      <c r="E444" s="105" t="s">
        <v>24</v>
      </c>
      <c r="F444" s="105" t="s">
        <v>1134</v>
      </c>
      <c r="G444" s="105"/>
      <c r="H444" s="105" t="s">
        <v>64</v>
      </c>
      <c r="I444" s="105" t="s">
        <v>75</v>
      </c>
    </row>
    <row r="445" spans="1:9" s="108" customFormat="1" ht="15.6">
      <c r="A445" s="105" t="s">
        <v>1384</v>
      </c>
      <c r="B445" s="105" t="s">
        <v>59</v>
      </c>
      <c r="C445" s="106">
        <v>40.64</v>
      </c>
      <c r="D445" s="109"/>
      <c r="E445" s="105" t="s">
        <v>24</v>
      </c>
      <c r="F445" s="105" t="s">
        <v>1134</v>
      </c>
      <c r="G445" s="105"/>
      <c r="H445" s="105" t="s">
        <v>64</v>
      </c>
      <c r="I445" s="105" t="s">
        <v>75</v>
      </c>
    </row>
    <row r="446" spans="1:9" s="108" customFormat="1" ht="15.6">
      <c r="A446" s="105" t="s">
        <v>1385</v>
      </c>
      <c r="B446" s="105" t="s">
        <v>59</v>
      </c>
      <c r="C446" s="106">
        <v>52.41</v>
      </c>
      <c r="D446" s="109"/>
      <c r="E446" s="105" t="s">
        <v>24</v>
      </c>
      <c r="F446" s="105" t="s">
        <v>1134</v>
      </c>
      <c r="G446" s="105"/>
      <c r="H446" s="105" t="s">
        <v>64</v>
      </c>
      <c r="I446" s="105" t="s">
        <v>75</v>
      </c>
    </row>
    <row r="447" spans="1:9" s="108" customFormat="1" ht="15.6">
      <c r="A447" s="105" t="s">
        <v>1386</v>
      </c>
      <c r="B447" s="105" t="s">
        <v>74</v>
      </c>
      <c r="C447" s="106">
        <v>1.7470000000000001</v>
      </c>
      <c r="D447" s="109"/>
      <c r="E447" s="105" t="s">
        <v>24</v>
      </c>
      <c r="F447" s="105" t="s">
        <v>1134</v>
      </c>
      <c r="G447" s="105"/>
      <c r="H447" s="105" t="s">
        <v>64</v>
      </c>
      <c r="I447" s="105" t="s">
        <v>75</v>
      </c>
    </row>
    <row r="448" spans="1:9" s="108" customFormat="1" ht="15.6">
      <c r="A448" s="105" t="s">
        <v>1387</v>
      </c>
      <c r="B448" s="105" t="s">
        <v>74</v>
      </c>
      <c r="C448" s="106">
        <v>2.0817999999999999</v>
      </c>
      <c r="D448" s="109"/>
      <c r="E448" s="105" t="s">
        <v>24</v>
      </c>
      <c r="F448" s="105" t="s">
        <v>1134</v>
      </c>
      <c r="G448" s="105"/>
      <c r="H448" s="105" t="s">
        <v>64</v>
      </c>
      <c r="I448" s="105" t="s">
        <v>75</v>
      </c>
    </row>
    <row r="449" spans="1:9" s="73" customFormat="1" ht="15.6">
      <c r="A449" s="83" t="s">
        <v>380</v>
      </c>
      <c r="B449" s="83" t="s">
        <v>59</v>
      </c>
      <c r="C449" s="116">
        <v>30.977</v>
      </c>
      <c r="D449" s="117">
        <v>0.3</v>
      </c>
      <c r="E449" s="83" t="s">
        <v>24</v>
      </c>
      <c r="F449" s="83" t="s">
        <v>140</v>
      </c>
      <c r="G449" s="83" t="s">
        <v>381</v>
      </c>
      <c r="H449" s="83" t="s">
        <v>64</v>
      </c>
      <c r="I449" s="83" t="s">
        <v>75</v>
      </c>
    </row>
    <row r="450" spans="1:9" s="73" customFormat="1" ht="15.6">
      <c r="A450" s="83" t="s">
        <v>382</v>
      </c>
      <c r="B450" s="83" t="s">
        <v>59</v>
      </c>
      <c r="C450" s="116">
        <v>43.475999999999999</v>
      </c>
      <c r="D450" s="117">
        <v>0.3</v>
      </c>
      <c r="E450" s="83" t="s">
        <v>24</v>
      </c>
      <c r="F450" s="83" t="s">
        <v>140</v>
      </c>
      <c r="G450" s="83" t="s">
        <v>383</v>
      </c>
      <c r="H450" s="83" t="s">
        <v>64</v>
      </c>
      <c r="I450" s="83" t="s">
        <v>75</v>
      </c>
    </row>
    <row r="451" spans="1:9" s="73" customFormat="1" ht="15.6">
      <c r="A451" s="83" t="s">
        <v>384</v>
      </c>
      <c r="B451" s="83" t="s">
        <v>59</v>
      </c>
      <c r="C451" s="116">
        <v>56.567999999999998</v>
      </c>
      <c r="D451" s="117">
        <v>0.3</v>
      </c>
      <c r="E451" s="83" t="s">
        <v>24</v>
      </c>
      <c r="F451" s="83" t="s">
        <v>140</v>
      </c>
      <c r="G451" s="83" t="s">
        <v>385</v>
      </c>
      <c r="H451" s="83" t="s">
        <v>64</v>
      </c>
      <c r="I451" s="83" t="s">
        <v>75</v>
      </c>
    </row>
    <row r="452" spans="1:9">
      <c r="A452" s="17"/>
      <c r="B452" s="17"/>
      <c r="C452" s="17"/>
      <c r="D452" s="57"/>
      <c r="E452" s="17" t="s">
        <v>24</v>
      </c>
      <c r="F452" s="17"/>
      <c r="G452" s="17"/>
      <c r="H452" s="17"/>
      <c r="I452" s="17"/>
    </row>
    <row r="453" spans="1:9">
      <c r="A453" s="17" t="s">
        <v>386</v>
      </c>
      <c r="B453" s="17"/>
      <c r="C453" s="17"/>
      <c r="D453" s="57"/>
      <c r="E453" s="17" t="s">
        <v>24</v>
      </c>
      <c r="F453" s="17"/>
      <c r="G453" s="17"/>
      <c r="H453" s="17"/>
      <c r="I453" s="17"/>
    </row>
    <row r="454" spans="1:9" s="108" customFormat="1">
      <c r="A454" s="105" t="s">
        <v>387</v>
      </c>
      <c r="B454" s="105" t="s">
        <v>55</v>
      </c>
      <c r="C454" s="106">
        <v>1199</v>
      </c>
      <c r="D454" s="107">
        <v>0.5</v>
      </c>
      <c r="E454" s="105" t="s">
        <v>24</v>
      </c>
      <c r="F454" s="105" t="s">
        <v>1201</v>
      </c>
      <c r="G454" s="105"/>
      <c r="H454" s="105" t="s">
        <v>64</v>
      </c>
      <c r="I454" s="105" t="s">
        <v>388</v>
      </c>
    </row>
    <row r="455" spans="1:9" s="108" customFormat="1">
      <c r="A455" s="105" t="s">
        <v>389</v>
      </c>
      <c r="B455" s="105" t="s">
        <v>55</v>
      </c>
      <c r="C455" s="106">
        <v>1424</v>
      </c>
      <c r="D455" s="107">
        <v>0.5</v>
      </c>
      <c r="E455" s="105" t="s">
        <v>24</v>
      </c>
      <c r="F455" s="105" t="s">
        <v>1201</v>
      </c>
      <c r="G455" s="105"/>
      <c r="H455" s="105" t="s">
        <v>64</v>
      </c>
      <c r="I455" s="105" t="s">
        <v>388</v>
      </c>
    </row>
    <row r="456" spans="1:9" s="108" customFormat="1">
      <c r="A456" s="105" t="s">
        <v>390</v>
      </c>
      <c r="B456" s="105" t="s">
        <v>55</v>
      </c>
      <c r="C456" s="106">
        <v>148</v>
      </c>
      <c r="D456" s="107">
        <v>0.5</v>
      </c>
      <c r="E456" s="105" t="s">
        <v>24</v>
      </c>
      <c r="F456" s="105" t="s">
        <v>1201</v>
      </c>
      <c r="G456" s="105"/>
      <c r="H456" s="105" t="s">
        <v>64</v>
      </c>
      <c r="I456" s="105" t="s">
        <v>388</v>
      </c>
    </row>
    <row r="457" spans="1:9" s="108" customFormat="1">
      <c r="A457" s="105" t="s">
        <v>391</v>
      </c>
      <c r="B457" s="105" t="s">
        <v>55</v>
      </c>
      <c r="C457" s="106">
        <v>1467</v>
      </c>
      <c r="D457" s="107">
        <v>0.25</v>
      </c>
      <c r="E457" s="105" t="s">
        <v>24</v>
      </c>
      <c r="F457" s="105" t="s">
        <v>1201</v>
      </c>
      <c r="G457" s="105"/>
      <c r="H457" s="105" t="s">
        <v>64</v>
      </c>
      <c r="I457" s="105" t="s">
        <v>388</v>
      </c>
    </row>
    <row r="458" spans="1:9" s="108" customFormat="1">
      <c r="A458" s="105" t="s">
        <v>392</v>
      </c>
      <c r="B458" s="105" t="s">
        <v>55</v>
      </c>
      <c r="C458" s="106">
        <v>4795</v>
      </c>
      <c r="D458" s="107">
        <v>0.3</v>
      </c>
      <c r="E458" s="105" t="s">
        <v>24</v>
      </c>
      <c r="F458" s="105" t="s">
        <v>1201</v>
      </c>
      <c r="G458" s="105"/>
      <c r="H458" s="105" t="s">
        <v>64</v>
      </c>
      <c r="I458" s="105" t="s">
        <v>388</v>
      </c>
    </row>
    <row r="459" spans="1:9">
      <c r="A459" s="17" t="s">
        <v>393</v>
      </c>
      <c r="B459" s="17" t="s">
        <v>55</v>
      </c>
      <c r="C459" s="58">
        <v>9166.6666666666661</v>
      </c>
      <c r="D459" s="57">
        <v>0.5</v>
      </c>
      <c r="E459" s="17" t="s">
        <v>24</v>
      </c>
      <c r="F459" s="17" t="s">
        <v>167</v>
      </c>
      <c r="G459" s="17"/>
      <c r="H459" s="17" t="s">
        <v>64</v>
      </c>
      <c r="I459" s="17" t="s">
        <v>388</v>
      </c>
    </row>
    <row r="460" spans="1:9" ht="15.6">
      <c r="A460" s="17" t="s">
        <v>394</v>
      </c>
      <c r="B460" s="17" t="s">
        <v>74</v>
      </c>
      <c r="C460" s="58">
        <v>4.4804000000000004</v>
      </c>
      <c r="D460" s="59">
        <v>0.3</v>
      </c>
      <c r="E460" s="17" t="s">
        <v>24</v>
      </c>
      <c r="F460" s="17" t="s">
        <v>140</v>
      </c>
      <c r="G460" s="17" t="s">
        <v>395</v>
      </c>
      <c r="H460" s="17" t="s">
        <v>64</v>
      </c>
      <c r="I460" s="17" t="s">
        <v>388</v>
      </c>
    </row>
    <row r="461" spans="1:9" ht="15.6">
      <c r="A461" s="17" t="s">
        <v>396</v>
      </c>
      <c r="B461" s="17" t="s">
        <v>74</v>
      </c>
      <c r="C461" s="58">
        <v>1.5503</v>
      </c>
      <c r="D461" s="59">
        <v>0.3</v>
      </c>
      <c r="E461" s="17" t="s">
        <v>24</v>
      </c>
      <c r="F461" s="17" t="s">
        <v>140</v>
      </c>
      <c r="G461" s="17" t="s">
        <v>397</v>
      </c>
      <c r="H461" s="17" t="s">
        <v>64</v>
      </c>
      <c r="I461" s="17" t="s">
        <v>388</v>
      </c>
    </row>
    <row r="462" spans="1:9" ht="15.6">
      <c r="A462" s="17" t="s">
        <v>398</v>
      </c>
      <c r="B462" s="17" t="s">
        <v>74</v>
      </c>
      <c r="C462" s="58">
        <v>2.1341999999999999</v>
      </c>
      <c r="D462" s="59">
        <v>0.3</v>
      </c>
      <c r="E462" s="17" t="s">
        <v>24</v>
      </c>
      <c r="F462" s="17" t="s">
        <v>140</v>
      </c>
      <c r="G462" s="17"/>
      <c r="H462" s="17" t="s">
        <v>64</v>
      </c>
      <c r="I462" s="17" t="s">
        <v>388</v>
      </c>
    </row>
    <row r="463" spans="1:9" s="108" customFormat="1">
      <c r="A463" s="105" t="s">
        <v>1388</v>
      </c>
      <c r="B463" s="105" t="s">
        <v>55</v>
      </c>
      <c r="C463" s="106">
        <v>451</v>
      </c>
      <c r="D463" s="107">
        <v>0.3</v>
      </c>
      <c r="E463" s="105" t="s">
        <v>24</v>
      </c>
      <c r="F463" s="105" t="s">
        <v>1201</v>
      </c>
      <c r="G463" s="105"/>
      <c r="H463" s="105" t="s">
        <v>64</v>
      </c>
      <c r="I463" s="105" t="s">
        <v>388</v>
      </c>
    </row>
    <row r="464" spans="1:9" s="108" customFormat="1">
      <c r="A464" s="105" t="s">
        <v>399</v>
      </c>
      <c r="B464" s="105" t="s">
        <v>55</v>
      </c>
      <c r="C464" s="106">
        <v>6140</v>
      </c>
      <c r="D464" s="107">
        <v>0.5</v>
      </c>
      <c r="E464" s="105" t="s">
        <v>24</v>
      </c>
      <c r="F464" s="105" t="s">
        <v>1201</v>
      </c>
      <c r="G464" s="105"/>
      <c r="H464" s="105" t="s">
        <v>64</v>
      </c>
      <c r="I464" s="105" t="s">
        <v>388</v>
      </c>
    </row>
    <row r="465" spans="1:9" s="108" customFormat="1">
      <c r="A465" s="105" t="s">
        <v>400</v>
      </c>
      <c r="B465" s="105" t="s">
        <v>55</v>
      </c>
      <c r="C465" s="106">
        <v>9150</v>
      </c>
      <c r="D465" s="107">
        <v>0.5</v>
      </c>
      <c r="E465" s="105" t="s">
        <v>24</v>
      </c>
      <c r="F465" s="105" t="s">
        <v>1201</v>
      </c>
      <c r="G465" s="105"/>
      <c r="H465" s="105" t="s">
        <v>64</v>
      </c>
      <c r="I465" s="105" t="s">
        <v>388</v>
      </c>
    </row>
    <row r="466" spans="1:9" s="108" customFormat="1">
      <c r="A466" s="105" t="s">
        <v>401</v>
      </c>
      <c r="B466" s="105" t="s">
        <v>55</v>
      </c>
      <c r="C466" s="106">
        <v>313</v>
      </c>
      <c r="D466" s="107">
        <v>0.5</v>
      </c>
      <c r="E466" s="105" t="s">
        <v>24</v>
      </c>
      <c r="F466" s="105" t="s">
        <v>1201</v>
      </c>
      <c r="G466" s="105"/>
      <c r="H466" s="105" t="s">
        <v>64</v>
      </c>
      <c r="I466" s="105" t="s">
        <v>388</v>
      </c>
    </row>
    <row r="467" spans="1:9" s="108" customFormat="1">
      <c r="A467" s="105" t="s">
        <v>402</v>
      </c>
      <c r="B467" s="105" t="s">
        <v>55</v>
      </c>
      <c r="C467" s="106">
        <v>25000</v>
      </c>
      <c r="D467" s="107">
        <v>0.5</v>
      </c>
      <c r="E467" s="105" t="s">
        <v>24</v>
      </c>
      <c r="F467" s="105" t="s">
        <v>1201</v>
      </c>
      <c r="G467" s="105"/>
      <c r="H467" s="105" t="s">
        <v>64</v>
      </c>
      <c r="I467" s="105" t="s">
        <v>388</v>
      </c>
    </row>
    <row r="468" spans="1:9" ht="15.6">
      <c r="A468" s="17" t="s">
        <v>403</v>
      </c>
      <c r="B468" s="17" t="s">
        <v>74</v>
      </c>
      <c r="C468" s="58">
        <v>0.41183999999999998</v>
      </c>
      <c r="D468" s="59">
        <v>0.3</v>
      </c>
      <c r="E468" s="17" t="s">
        <v>24</v>
      </c>
      <c r="F468" s="17" t="s">
        <v>140</v>
      </c>
      <c r="G468" s="17"/>
      <c r="H468" s="17" t="s">
        <v>64</v>
      </c>
      <c r="I468" s="17" t="s">
        <v>388</v>
      </c>
    </row>
    <row r="469" spans="1:9" ht="15.6">
      <c r="A469" s="17" t="s">
        <v>404</v>
      </c>
      <c r="B469" s="17" t="s">
        <v>74</v>
      </c>
      <c r="C469" s="58">
        <v>1.4502999999999999</v>
      </c>
      <c r="D469" s="59">
        <v>0.3</v>
      </c>
      <c r="E469" s="17" t="s">
        <v>24</v>
      </c>
      <c r="F469" s="17" t="s">
        <v>140</v>
      </c>
      <c r="G469" s="17"/>
      <c r="H469" s="17" t="s">
        <v>64</v>
      </c>
      <c r="I469" s="17" t="s">
        <v>388</v>
      </c>
    </row>
    <row r="470" spans="1:9" s="108" customFormat="1">
      <c r="A470" s="105" t="s">
        <v>405</v>
      </c>
      <c r="B470" s="105" t="s">
        <v>55</v>
      </c>
      <c r="C470" s="106">
        <v>521</v>
      </c>
      <c r="D470" s="107">
        <v>0.5</v>
      </c>
      <c r="E470" s="105" t="s">
        <v>24</v>
      </c>
      <c r="F470" s="105" t="s">
        <v>1201</v>
      </c>
      <c r="G470" s="105"/>
      <c r="H470" s="105" t="s">
        <v>64</v>
      </c>
      <c r="I470" s="105" t="s">
        <v>388</v>
      </c>
    </row>
    <row r="471" spans="1:9" ht="15.6">
      <c r="A471" s="17" t="s">
        <v>406</v>
      </c>
      <c r="B471" s="17" t="s">
        <v>74</v>
      </c>
      <c r="C471" s="58">
        <v>4.4615999999999998</v>
      </c>
      <c r="D471" s="59">
        <v>0.3</v>
      </c>
      <c r="E471" s="17" t="s">
        <v>24</v>
      </c>
      <c r="F471" s="17" t="s">
        <v>140</v>
      </c>
      <c r="G471" s="17" t="s">
        <v>407</v>
      </c>
      <c r="H471" s="17" t="s">
        <v>64</v>
      </c>
      <c r="I471" s="17" t="s">
        <v>388</v>
      </c>
    </row>
    <row r="472" spans="1:9" s="108" customFormat="1">
      <c r="A472" s="105" t="s">
        <v>408</v>
      </c>
      <c r="B472" s="105" t="s">
        <v>55</v>
      </c>
      <c r="C472" s="106">
        <v>1684</v>
      </c>
      <c r="D472" s="107">
        <v>0.3</v>
      </c>
      <c r="E472" s="105" t="s">
        <v>24</v>
      </c>
      <c r="F472" s="105" t="s">
        <v>1201</v>
      </c>
      <c r="G472" s="105"/>
      <c r="H472" s="105" t="s">
        <v>64</v>
      </c>
      <c r="I472" s="105" t="s">
        <v>388</v>
      </c>
    </row>
    <row r="473" spans="1:9" s="108" customFormat="1">
      <c r="A473" s="105" t="s">
        <v>409</v>
      </c>
      <c r="B473" s="105" t="s">
        <v>55</v>
      </c>
      <c r="C473" s="106">
        <v>7630</v>
      </c>
      <c r="D473" s="107">
        <v>0.25</v>
      </c>
      <c r="E473" s="105" t="s">
        <v>24</v>
      </c>
      <c r="F473" s="105" t="s">
        <v>1201</v>
      </c>
      <c r="G473" s="105"/>
      <c r="H473" s="105" t="s">
        <v>64</v>
      </c>
      <c r="I473" s="105" t="s">
        <v>388</v>
      </c>
    </row>
    <row r="474" spans="1:9" ht="15.6">
      <c r="A474" s="17" t="s">
        <v>410</v>
      </c>
      <c r="B474" s="17" t="s">
        <v>74</v>
      </c>
      <c r="C474" s="58">
        <v>2.7267999999999999</v>
      </c>
      <c r="D474" s="59">
        <v>0.3</v>
      </c>
      <c r="E474" s="17" t="s">
        <v>24</v>
      </c>
      <c r="F474" s="17" t="s">
        <v>140</v>
      </c>
      <c r="G474" s="17"/>
      <c r="H474" s="17" t="s">
        <v>64</v>
      </c>
      <c r="I474" s="17" t="s">
        <v>388</v>
      </c>
    </row>
    <row r="475" spans="1:9" ht="15.6">
      <c r="A475" s="17" t="s">
        <v>411</v>
      </c>
      <c r="B475" s="17" t="s">
        <v>74</v>
      </c>
      <c r="C475" s="58">
        <v>2.8500999999999999</v>
      </c>
      <c r="D475" s="59">
        <v>0.3</v>
      </c>
      <c r="E475" s="17" t="s">
        <v>24</v>
      </c>
      <c r="F475" s="17" t="s">
        <v>140</v>
      </c>
      <c r="G475" s="17"/>
      <c r="H475" s="17" t="s">
        <v>64</v>
      </c>
      <c r="I475" s="17" t="s">
        <v>388</v>
      </c>
    </row>
    <row r="476" spans="1:9" ht="15.6">
      <c r="A476" s="17" t="s">
        <v>412</v>
      </c>
      <c r="B476" s="17" t="s">
        <v>55</v>
      </c>
      <c r="C476" s="58">
        <v>2966</v>
      </c>
      <c r="D476" s="59">
        <v>0.3</v>
      </c>
      <c r="E476" s="17" t="s">
        <v>24</v>
      </c>
      <c r="F476" s="17" t="s">
        <v>183</v>
      </c>
      <c r="G476" s="17"/>
      <c r="H476" s="17" t="s">
        <v>64</v>
      </c>
      <c r="I476" s="17" t="s">
        <v>388</v>
      </c>
    </row>
    <row r="477" spans="1:9" ht="15.6">
      <c r="A477" s="17" t="s">
        <v>413</v>
      </c>
      <c r="B477" s="17" t="s">
        <v>74</v>
      </c>
      <c r="C477" s="58">
        <v>10.521000000000001</v>
      </c>
      <c r="D477" s="59">
        <v>0.3</v>
      </c>
      <c r="E477" s="17" t="s">
        <v>24</v>
      </c>
      <c r="F477" s="17" t="s">
        <v>140</v>
      </c>
      <c r="G477" s="17" t="s">
        <v>414</v>
      </c>
      <c r="H477" s="17" t="s">
        <v>64</v>
      </c>
      <c r="I477" s="17" t="s">
        <v>388</v>
      </c>
    </row>
    <row r="478" spans="1:9" ht="15.6">
      <c r="A478" s="17" t="s">
        <v>415</v>
      </c>
      <c r="B478" s="17" t="s">
        <v>74</v>
      </c>
      <c r="C478" s="58">
        <v>2.8969999999999998</v>
      </c>
      <c r="D478" s="59">
        <v>0.3</v>
      </c>
      <c r="E478" s="17" t="s">
        <v>24</v>
      </c>
      <c r="F478" s="17" t="s">
        <v>140</v>
      </c>
      <c r="G478" s="17" t="s">
        <v>416</v>
      </c>
      <c r="H478" s="17" t="s">
        <v>64</v>
      </c>
      <c r="I478" s="17" t="s">
        <v>388</v>
      </c>
    </row>
    <row r="479" spans="1:9" s="108" customFormat="1">
      <c r="A479" s="105" t="s">
        <v>1389</v>
      </c>
      <c r="B479" s="105" t="s">
        <v>1390</v>
      </c>
      <c r="C479" s="106">
        <v>451</v>
      </c>
      <c r="D479" s="107">
        <v>0.3</v>
      </c>
      <c r="E479" s="105" t="s">
        <v>24</v>
      </c>
      <c r="F479" s="105" t="s">
        <v>1201</v>
      </c>
      <c r="G479" s="105"/>
      <c r="H479" s="105" t="s">
        <v>64</v>
      </c>
      <c r="I479" s="105" t="s">
        <v>388</v>
      </c>
    </row>
    <row r="480" spans="1:9" s="108" customFormat="1">
      <c r="A480" s="105" t="s">
        <v>417</v>
      </c>
      <c r="B480" s="105" t="s">
        <v>55</v>
      </c>
      <c r="C480" s="106">
        <v>1173</v>
      </c>
      <c r="D480" s="107">
        <v>0.3</v>
      </c>
      <c r="E480" s="105" t="s">
        <v>24</v>
      </c>
      <c r="F480" s="105" t="s">
        <v>1201</v>
      </c>
      <c r="G480" s="105"/>
      <c r="H480" s="105" t="s">
        <v>64</v>
      </c>
      <c r="I480" s="105" t="s">
        <v>388</v>
      </c>
    </row>
    <row r="481" spans="1:9" s="108" customFormat="1">
      <c r="A481" s="105" t="s">
        <v>418</v>
      </c>
      <c r="B481" s="105" t="s">
        <v>55</v>
      </c>
      <c r="C481" s="106">
        <v>587</v>
      </c>
      <c r="D481" s="107">
        <v>0.5</v>
      </c>
      <c r="E481" s="105" t="s">
        <v>24</v>
      </c>
      <c r="F481" s="105" t="s">
        <v>1201</v>
      </c>
      <c r="G481" s="105"/>
      <c r="H481" s="105" t="s">
        <v>64</v>
      </c>
      <c r="I481" s="105" t="s">
        <v>388</v>
      </c>
    </row>
    <row r="482" spans="1:9" ht="15.6">
      <c r="A482" s="17" t="s">
        <v>419</v>
      </c>
      <c r="B482" s="17" t="s">
        <v>74</v>
      </c>
      <c r="C482" s="58">
        <v>1.5463</v>
      </c>
      <c r="D482" s="59">
        <v>0.3</v>
      </c>
      <c r="E482" s="17" t="s">
        <v>24</v>
      </c>
      <c r="F482" s="17" t="s">
        <v>140</v>
      </c>
      <c r="G482" s="17"/>
      <c r="H482" s="17" t="s">
        <v>64</v>
      </c>
      <c r="I482" s="17" t="s">
        <v>388</v>
      </c>
    </row>
    <row r="483" spans="1:9" ht="15.6">
      <c r="A483" s="17" t="s">
        <v>420</v>
      </c>
      <c r="B483" s="17" t="s">
        <v>74</v>
      </c>
      <c r="C483" s="58">
        <v>2.5377000000000001</v>
      </c>
      <c r="D483" s="59">
        <v>0.3</v>
      </c>
      <c r="E483" s="17" t="s">
        <v>24</v>
      </c>
      <c r="F483" s="17" t="s">
        <v>140</v>
      </c>
      <c r="G483" s="17" t="s">
        <v>421</v>
      </c>
      <c r="H483" s="17" t="s">
        <v>64</v>
      </c>
      <c r="I483" s="17" t="s">
        <v>388</v>
      </c>
    </row>
    <row r="484" spans="1:9" ht="15.6">
      <c r="A484" s="17" t="s">
        <v>422</v>
      </c>
      <c r="B484" s="17" t="s">
        <v>74</v>
      </c>
      <c r="C484" s="58">
        <v>3.1154999999999999</v>
      </c>
      <c r="D484" s="59">
        <v>0.3</v>
      </c>
      <c r="E484" s="17" t="s">
        <v>24</v>
      </c>
      <c r="F484" s="17" t="s">
        <v>140</v>
      </c>
      <c r="G484" s="17" t="s">
        <v>423</v>
      </c>
      <c r="H484" s="17" t="s">
        <v>64</v>
      </c>
      <c r="I484" s="17" t="s">
        <v>388</v>
      </c>
    </row>
    <row r="485" spans="1:9" s="108" customFormat="1">
      <c r="A485" s="105" t="s">
        <v>424</v>
      </c>
      <c r="B485" s="105" t="s">
        <v>55</v>
      </c>
      <c r="C485" s="106">
        <v>581</v>
      </c>
      <c r="D485" s="107">
        <v>0.3</v>
      </c>
      <c r="E485" s="105" t="s">
        <v>24</v>
      </c>
      <c r="F485" s="105" t="s">
        <v>1201</v>
      </c>
      <c r="G485" s="105"/>
      <c r="H485" s="105" t="s">
        <v>64</v>
      </c>
      <c r="I485" s="105" t="s">
        <v>388</v>
      </c>
    </row>
    <row r="486" spans="1:9" s="108" customFormat="1">
      <c r="A486" s="105" t="s">
        <v>425</v>
      </c>
      <c r="B486" s="105" t="s">
        <v>55</v>
      </c>
      <c r="C486" s="106">
        <v>3697</v>
      </c>
      <c r="D486" s="107">
        <v>0.3</v>
      </c>
      <c r="E486" s="105" t="s">
        <v>24</v>
      </c>
      <c r="F486" s="105" t="s">
        <v>1201</v>
      </c>
      <c r="G486" s="105"/>
      <c r="H486" s="105" t="s">
        <v>64</v>
      </c>
      <c r="I486" s="105" t="s">
        <v>388</v>
      </c>
    </row>
    <row r="487" spans="1:9" s="108" customFormat="1" ht="15.6">
      <c r="A487" s="105" t="s">
        <v>1391</v>
      </c>
      <c r="B487" s="105" t="s">
        <v>74</v>
      </c>
      <c r="C487" s="106">
        <v>2.18919</v>
      </c>
      <c r="D487" s="109"/>
      <c r="E487" s="105" t="s">
        <v>24</v>
      </c>
      <c r="F487" s="105" t="s">
        <v>1178</v>
      </c>
      <c r="G487" s="105" t="s">
        <v>176</v>
      </c>
      <c r="H487" s="105" t="s">
        <v>64</v>
      </c>
      <c r="I487" s="105" t="s">
        <v>388</v>
      </c>
    </row>
    <row r="488" spans="1:9" ht="15.6">
      <c r="A488" s="17" t="s">
        <v>426</v>
      </c>
      <c r="B488" s="17" t="s">
        <v>74</v>
      </c>
      <c r="C488" s="58">
        <v>1.8647</v>
      </c>
      <c r="D488" s="59">
        <v>0.3</v>
      </c>
      <c r="E488" s="17" t="s">
        <v>24</v>
      </c>
      <c r="F488" s="17" t="s">
        <v>140</v>
      </c>
      <c r="G488" s="17"/>
      <c r="H488" s="17" t="s">
        <v>64</v>
      </c>
      <c r="I488" s="17" t="s">
        <v>388</v>
      </c>
    </row>
    <row r="489" spans="1:9">
      <c r="A489" s="17"/>
      <c r="B489" s="17"/>
      <c r="C489" s="17"/>
      <c r="D489" s="57"/>
      <c r="E489" s="17" t="s">
        <v>24</v>
      </c>
      <c r="F489" s="17"/>
      <c r="G489" s="17"/>
      <c r="H489" s="17"/>
      <c r="I489" s="17"/>
    </row>
    <row r="490" spans="1:9">
      <c r="A490" s="17" t="s">
        <v>427</v>
      </c>
      <c r="B490" s="17"/>
      <c r="C490" s="17"/>
      <c r="D490" s="57"/>
      <c r="E490" s="17" t="s">
        <v>24</v>
      </c>
      <c r="F490" s="17"/>
      <c r="G490" s="17"/>
      <c r="H490" s="17"/>
      <c r="I490" s="17"/>
    </row>
    <row r="491" spans="1:9" s="108" customFormat="1">
      <c r="A491" s="105" t="s">
        <v>428</v>
      </c>
      <c r="B491" s="105" t="s">
        <v>55</v>
      </c>
      <c r="C491" s="106">
        <v>2130</v>
      </c>
      <c r="D491" s="107">
        <v>0.2</v>
      </c>
      <c r="E491" s="105" t="s">
        <v>24</v>
      </c>
      <c r="F491" s="105" t="s">
        <v>1201</v>
      </c>
      <c r="G491" s="105"/>
      <c r="H491" s="105" t="s">
        <v>64</v>
      </c>
      <c r="I491" s="105" t="s">
        <v>89</v>
      </c>
    </row>
    <row r="492" spans="1:9" ht="15.6">
      <c r="A492" s="17" t="s">
        <v>429</v>
      </c>
      <c r="B492" s="17" t="s">
        <v>74</v>
      </c>
      <c r="C492" s="58">
        <v>1.4876</v>
      </c>
      <c r="D492" s="59">
        <v>0.3</v>
      </c>
      <c r="E492" s="17" t="s">
        <v>24</v>
      </c>
      <c r="F492" s="17" t="s">
        <v>140</v>
      </c>
      <c r="G492" s="17" t="s">
        <v>430</v>
      </c>
      <c r="H492" s="17" t="s">
        <v>64</v>
      </c>
      <c r="I492" s="17" t="s">
        <v>89</v>
      </c>
    </row>
    <row r="493" spans="1:9" ht="15.6">
      <c r="A493" s="17" t="s">
        <v>431</v>
      </c>
      <c r="B493" s="17" t="s">
        <v>74</v>
      </c>
      <c r="C493" s="58">
        <v>1.1527000000000001</v>
      </c>
      <c r="D493" s="59">
        <v>0.3</v>
      </c>
      <c r="E493" s="17" t="s">
        <v>24</v>
      </c>
      <c r="F493" s="17" t="s">
        <v>140</v>
      </c>
      <c r="G493" s="17" t="s">
        <v>432</v>
      </c>
      <c r="H493" s="17" t="s">
        <v>64</v>
      </c>
      <c r="I493" s="17" t="s">
        <v>89</v>
      </c>
    </row>
    <row r="494" spans="1:9" s="108" customFormat="1">
      <c r="A494" s="105" t="s">
        <v>1392</v>
      </c>
      <c r="B494" s="105" t="s">
        <v>55</v>
      </c>
      <c r="C494" s="106">
        <v>1019.14</v>
      </c>
      <c r="D494" s="107"/>
      <c r="E494" s="105" t="s">
        <v>24</v>
      </c>
      <c r="F494" s="105" t="s">
        <v>1178</v>
      </c>
      <c r="G494" s="105" t="s">
        <v>1393</v>
      </c>
      <c r="H494" s="105" t="s">
        <v>64</v>
      </c>
      <c r="I494" s="105" t="s">
        <v>89</v>
      </c>
    </row>
    <row r="495" spans="1:9" s="108" customFormat="1">
      <c r="A495" s="105" t="s">
        <v>1394</v>
      </c>
      <c r="B495" s="105" t="s">
        <v>55</v>
      </c>
      <c r="C495" s="106">
        <v>1260</v>
      </c>
      <c r="D495" s="107"/>
      <c r="E495" s="105" t="s">
        <v>24</v>
      </c>
      <c r="F495" s="105" t="s">
        <v>1099</v>
      </c>
      <c r="G495" s="105"/>
      <c r="H495" s="105" t="s">
        <v>64</v>
      </c>
      <c r="I495" s="105" t="s">
        <v>89</v>
      </c>
    </row>
    <row r="496" spans="1:9" s="108" customFormat="1">
      <c r="A496" s="105" t="s">
        <v>433</v>
      </c>
      <c r="B496" s="105" t="s">
        <v>55</v>
      </c>
      <c r="C496" s="106">
        <v>3670</v>
      </c>
      <c r="D496" s="107">
        <v>0.2</v>
      </c>
      <c r="E496" s="105" t="s">
        <v>24</v>
      </c>
      <c r="F496" s="105" t="s">
        <v>1099</v>
      </c>
      <c r="G496" s="105"/>
      <c r="H496" s="105" t="s">
        <v>64</v>
      </c>
      <c r="I496" s="105" t="s">
        <v>89</v>
      </c>
    </row>
    <row r="497" spans="1:9">
      <c r="A497" s="17"/>
      <c r="B497" s="17"/>
      <c r="C497" s="17"/>
      <c r="D497" s="57"/>
      <c r="E497" s="17" t="s">
        <v>24</v>
      </c>
      <c r="F497" s="17"/>
      <c r="G497" s="17"/>
      <c r="H497" s="17"/>
      <c r="I497" s="17"/>
    </row>
    <row r="498" spans="1:9">
      <c r="A498" s="17" t="s">
        <v>434</v>
      </c>
      <c r="B498" s="17"/>
      <c r="C498" s="17"/>
      <c r="D498" s="57"/>
      <c r="E498" s="17" t="s">
        <v>24</v>
      </c>
      <c r="F498" s="17"/>
      <c r="G498" s="17"/>
      <c r="H498" s="17"/>
      <c r="I498" s="17"/>
    </row>
    <row r="499" spans="1:9" ht="15.6">
      <c r="A499" s="17" t="s">
        <v>435</v>
      </c>
      <c r="B499" s="17" t="s">
        <v>44</v>
      </c>
      <c r="C499" s="58">
        <v>327.33</v>
      </c>
      <c r="D499" s="59">
        <v>0.3</v>
      </c>
      <c r="E499" s="17" t="s">
        <v>24</v>
      </c>
      <c r="F499" s="17" t="s">
        <v>140</v>
      </c>
      <c r="G499" s="17" t="s">
        <v>436</v>
      </c>
      <c r="H499" s="17" t="s">
        <v>64</v>
      </c>
      <c r="I499" s="17" t="s">
        <v>437</v>
      </c>
    </row>
    <row r="500" spans="1:9" ht="15.6">
      <c r="A500" s="17" t="s">
        <v>438</v>
      </c>
      <c r="B500" s="17" t="s">
        <v>44</v>
      </c>
      <c r="C500" s="58">
        <v>262.72000000000003</v>
      </c>
      <c r="D500" s="59">
        <v>0.3</v>
      </c>
      <c r="E500" s="17" t="s">
        <v>24</v>
      </c>
      <c r="F500" s="17" t="s">
        <v>140</v>
      </c>
      <c r="G500" s="17" t="s">
        <v>439</v>
      </c>
      <c r="H500" s="17" t="s">
        <v>64</v>
      </c>
      <c r="I500" s="17" t="s">
        <v>437</v>
      </c>
    </row>
    <row r="501" spans="1:9" s="108" customFormat="1" ht="15.6">
      <c r="A501" s="105" t="s">
        <v>1395</v>
      </c>
      <c r="B501" s="105" t="s">
        <v>59</v>
      </c>
      <c r="C501" s="106">
        <v>-17.2</v>
      </c>
      <c r="D501" s="109">
        <v>0.4</v>
      </c>
      <c r="E501" s="105" t="s">
        <v>24</v>
      </c>
      <c r="F501" s="111" t="s">
        <v>144</v>
      </c>
      <c r="G501" s="105" t="s">
        <v>1396</v>
      </c>
      <c r="H501" s="105" t="s">
        <v>64</v>
      </c>
      <c r="I501" s="105" t="s">
        <v>437</v>
      </c>
    </row>
    <row r="502" spans="1:9" s="108" customFormat="1">
      <c r="A502" s="105" t="s">
        <v>440</v>
      </c>
      <c r="B502" s="105" t="s">
        <v>55</v>
      </c>
      <c r="C502" s="106">
        <v>36.700000000000003</v>
      </c>
      <c r="D502" s="107">
        <v>0.5</v>
      </c>
      <c r="E502" s="105" t="s">
        <v>24</v>
      </c>
      <c r="F502" s="105" t="s">
        <v>1201</v>
      </c>
      <c r="G502" s="105"/>
      <c r="H502" s="105" t="s">
        <v>64</v>
      </c>
      <c r="I502" s="105" t="s">
        <v>437</v>
      </c>
    </row>
    <row r="503" spans="1:9" s="108" customFormat="1">
      <c r="A503" s="105" t="s">
        <v>441</v>
      </c>
      <c r="B503" s="105" t="s">
        <v>55</v>
      </c>
      <c r="C503" s="106">
        <v>36.700000000000003</v>
      </c>
      <c r="D503" s="107">
        <v>0.5</v>
      </c>
      <c r="E503" s="105" t="s">
        <v>24</v>
      </c>
      <c r="F503" s="105" t="s">
        <v>1201</v>
      </c>
      <c r="G503" s="105"/>
      <c r="H503" s="105" t="s">
        <v>64</v>
      </c>
      <c r="I503" s="105" t="s">
        <v>437</v>
      </c>
    </row>
    <row r="504" spans="1:9" s="108" customFormat="1" ht="15.6">
      <c r="A504" s="105" t="s">
        <v>1397</v>
      </c>
      <c r="B504" s="105" t="s">
        <v>44</v>
      </c>
      <c r="C504" s="106">
        <v>-701</v>
      </c>
      <c r="D504" s="109">
        <v>0.4</v>
      </c>
      <c r="E504" s="105" t="s">
        <v>24</v>
      </c>
      <c r="F504" s="112" t="s">
        <v>144</v>
      </c>
      <c r="G504" s="105" t="s">
        <v>1398</v>
      </c>
      <c r="H504" s="105" t="s">
        <v>64</v>
      </c>
      <c r="I504" s="105" t="s">
        <v>437</v>
      </c>
    </row>
    <row r="505" spans="1:9" s="108" customFormat="1" ht="15.6">
      <c r="A505" s="105" t="s">
        <v>1399</v>
      </c>
      <c r="B505" s="105" t="s">
        <v>44</v>
      </c>
      <c r="C505" s="106">
        <v>-616</v>
      </c>
      <c r="D505" s="109">
        <v>0.4</v>
      </c>
      <c r="E505" s="105" t="s">
        <v>24</v>
      </c>
      <c r="F505" s="112" t="s">
        <v>144</v>
      </c>
      <c r="G505" s="105" t="s">
        <v>1398</v>
      </c>
      <c r="H505" s="105" t="s">
        <v>64</v>
      </c>
      <c r="I505" s="105" t="s">
        <v>437</v>
      </c>
    </row>
    <row r="506" spans="1:9" ht="15.6">
      <c r="A506" s="17" t="s">
        <v>442</v>
      </c>
      <c r="B506" s="17" t="s">
        <v>44</v>
      </c>
      <c r="C506" s="58">
        <v>644.38</v>
      </c>
      <c r="D506" s="59">
        <v>0.3</v>
      </c>
      <c r="E506" s="17" t="s">
        <v>24</v>
      </c>
      <c r="F506" s="17" t="s">
        <v>140</v>
      </c>
      <c r="G506" s="17" t="s">
        <v>443</v>
      </c>
      <c r="H506" s="17" t="s">
        <v>64</v>
      </c>
      <c r="I506" s="17" t="s">
        <v>437</v>
      </c>
    </row>
    <row r="507" spans="1:9" ht="15.6">
      <c r="A507" s="17" t="s">
        <v>444</v>
      </c>
      <c r="B507" s="17" t="s">
        <v>44</v>
      </c>
      <c r="C507" s="58">
        <v>498.47</v>
      </c>
      <c r="D507" s="59">
        <v>0.3</v>
      </c>
      <c r="E507" s="17" t="s">
        <v>24</v>
      </c>
      <c r="F507" s="17" t="s">
        <v>140</v>
      </c>
      <c r="G507" s="17" t="s">
        <v>445</v>
      </c>
      <c r="H507" s="17" t="s">
        <v>64</v>
      </c>
      <c r="I507" s="17" t="s">
        <v>437</v>
      </c>
    </row>
    <row r="508" spans="1:9" s="108" customFormat="1" ht="15.6">
      <c r="A508" s="105" t="s">
        <v>1400</v>
      </c>
      <c r="B508" s="105" t="s">
        <v>44</v>
      </c>
      <c r="C508" s="106">
        <v>-646</v>
      </c>
      <c r="D508" s="109">
        <v>0.4</v>
      </c>
      <c r="E508" s="105" t="s">
        <v>24</v>
      </c>
      <c r="F508" s="118" t="s">
        <v>144</v>
      </c>
      <c r="G508" s="105" t="s">
        <v>1401</v>
      </c>
      <c r="H508" s="105" t="s">
        <v>64</v>
      </c>
      <c r="I508" s="105" t="s">
        <v>437</v>
      </c>
    </row>
    <row r="509" spans="1:9" s="108" customFormat="1" ht="15.6">
      <c r="A509" s="105" t="s">
        <v>1402</v>
      </c>
      <c r="B509" s="105" t="s">
        <v>44</v>
      </c>
      <c r="C509" s="106">
        <v>-1130</v>
      </c>
      <c r="D509" s="109">
        <v>0.4</v>
      </c>
      <c r="E509" s="105" t="s">
        <v>24</v>
      </c>
      <c r="F509" s="118" t="s">
        <v>144</v>
      </c>
      <c r="G509" s="105" t="s">
        <v>1403</v>
      </c>
      <c r="H509" s="105" t="s">
        <v>64</v>
      </c>
      <c r="I509" s="105" t="s">
        <v>437</v>
      </c>
    </row>
    <row r="510" spans="1:9" s="108" customFormat="1" ht="15.6">
      <c r="A510" s="105" t="s">
        <v>1404</v>
      </c>
      <c r="B510" s="105" t="s">
        <v>44</v>
      </c>
      <c r="C510" s="106">
        <v>-695</v>
      </c>
      <c r="D510" s="109">
        <v>0.4</v>
      </c>
      <c r="E510" s="105" t="s">
        <v>24</v>
      </c>
      <c r="F510" s="118" t="s">
        <v>144</v>
      </c>
      <c r="G510" s="105" t="s">
        <v>1398</v>
      </c>
      <c r="H510" s="105" t="s">
        <v>64</v>
      </c>
      <c r="I510" s="105" t="s">
        <v>437</v>
      </c>
    </row>
    <row r="511" spans="1:9" ht="15.6">
      <c r="A511" s="17" t="s">
        <v>446</v>
      </c>
      <c r="B511" s="17" t="s">
        <v>74</v>
      </c>
      <c r="C511" s="58">
        <v>0.3664</v>
      </c>
      <c r="D511" s="59">
        <v>0.3</v>
      </c>
      <c r="E511" s="17" t="s">
        <v>24</v>
      </c>
      <c r="F511" s="17" t="s">
        <v>140</v>
      </c>
      <c r="G511" s="17" t="s">
        <v>447</v>
      </c>
      <c r="H511" s="17" t="s">
        <v>64</v>
      </c>
      <c r="I511" s="17" t="s">
        <v>437</v>
      </c>
    </row>
    <row r="512" spans="1:9" ht="15.6">
      <c r="A512" s="17" t="s">
        <v>448</v>
      </c>
      <c r="B512" s="17" t="s">
        <v>44</v>
      </c>
      <c r="C512" s="58">
        <v>224.71</v>
      </c>
      <c r="D512" s="59">
        <v>0.3</v>
      </c>
      <c r="E512" s="17" t="s">
        <v>24</v>
      </c>
      <c r="F512" s="17" t="s">
        <v>140</v>
      </c>
      <c r="G512" s="17" t="s">
        <v>443</v>
      </c>
      <c r="H512" s="17" t="s">
        <v>64</v>
      </c>
      <c r="I512" s="17" t="s">
        <v>437</v>
      </c>
    </row>
    <row r="513" spans="1:9" ht="15.6">
      <c r="A513" s="17" t="s">
        <v>449</v>
      </c>
      <c r="B513" s="17" t="s">
        <v>44</v>
      </c>
      <c r="C513" s="58">
        <v>206.12</v>
      </c>
      <c r="D513" s="59">
        <v>0.3</v>
      </c>
      <c r="E513" s="17" t="s">
        <v>24</v>
      </c>
      <c r="F513" s="17" t="s">
        <v>140</v>
      </c>
      <c r="G513" s="17" t="s">
        <v>445</v>
      </c>
      <c r="H513" s="17" t="s">
        <v>64</v>
      </c>
      <c r="I513" s="17" t="s">
        <v>437</v>
      </c>
    </row>
    <row r="514" spans="1:9" ht="15.6">
      <c r="A514" s="17" t="s">
        <v>450</v>
      </c>
      <c r="B514" s="17" t="s">
        <v>74</v>
      </c>
      <c r="C514" s="58">
        <v>1.9564000000000002E-2</v>
      </c>
      <c r="D514" s="59">
        <v>0.3</v>
      </c>
      <c r="E514" s="17" t="s">
        <v>24</v>
      </c>
      <c r="F514" s="17" t="s">
        <v>140</v>
      </c>
      <c r="G514" s="17"/>
      <c r="H514" s="17" t="s">
        <v>64</v>
      </c>
      <c r="I514" s="17" t="s">
        <v>437</v>
      </c>
    </row>
    <row r="515" spans="1:9" s="108" customFormat="1" ht="15.6">
      <c r="A515" s="105" t="s">
        <v>1405</v>
      </c>
      <c r="B515" s="105" t="s">
        <v>59</v>
      </c>
      <c r="C515" s="106">
        <v>-18.3</v>
      </c>
      <c r="D515" s="109">
        <v>0.4</v>
      </c>
      <c r="E515" s="105" t="s">
        <v>24</v>
      </c>
      <c r="F515" s="111" t="s">
        <v>144</v>
      </c>
      <c r="G515" s="105" t="s">
        <v>1406</v>
      </c>
      <c r="H515" s="105" t="s">
        <v>64</v>
      </c>
      <c r="I515" s="105" t="s">
        <v>437</v>
      </c>
    </row>
    <row r="516" spans="1:9" ht="15.6">
      <c r="A516" s="17" t="s">
        <v>451</v>
      </c>
      <c r="B516" s="17" t="s">
        <v>452</v>
      </c>
      <c r="C516" s="58">
        <v>6.1237000000000004</v>
      </c>
      <c r="D516" s="59">
        <v>0.3</v>
      </c>
      <c r="E516" s="17" t="s">
        <v>24</v>
      </c>
      <c r="F516" s="17" t="s">
        <v>140</v>
      </c>
      <c r="G516" s="17" t="s">
        <v>453</v>
      </c>
      <c r="H516" s="17" t="s">
        <v>64</v>
      </c>
      <c r="I516" s="17" t="s">
        <v>437</v>
      </c>
    </row>
    <row r="517" spans="1:9" ht="15.6">
      <c r="A517" s="17" t="s">
        <v>454</v>
      </c>
      <c r="B517" s="17" t="s">
        <v>44</v>
      </c>
      <c r="C517" s="58">
        <v>582.24</v>
      </c>
      <c r="D517" s="59">
        <v>0.3</v>
      </c>
      <c r="E517" s="17" t="s">
        <v>24</v>
      </c>
      <c r="F517" s="17" t="s">
        <v>140</v>
      </c>
      <c r="G517" s="17" t="s">
        <v>455</v>
      </c>
      <c r="H517" s="17" t="s">
        <v>64</v>
      </c>
      <c r="I517" s="17" t="s">
        <v>437</v>
      </c>
    </row>
    <row r="518" spans="1:9" ht="15.6">
      <c r="A518" s="17" t="s">
        <v>456</v>
      </c>
      <c r="B518" s="17" t="s">
        <v>44</v>
      </c>
      <c r="C518" s="58">
        <v>498.82</v>
      </c>
      <c r="D518" s="59">
        <v>0.3</v>
      </c>
      <c r="E518" s="17" t="s">
        <v>24</v>
      </c>
      <c r="F518" s="17" t="s">
        <v>140</v>
      </c>
      <c r="G518" s="17" t="s">
        <v>457</v>
      </c>
      <c r="H518" s="17" t="s">
        <v>64</v>
      </c>
      <c r="I518" s="17" t="s">
        <v>437</v>
      </c>
    </row>
    <row r="519" spans="1:9" ht="15.6">
      <c r="A519" s="17" t="s">
        <v>458</v>
      </c>
      <c r="B519" s="17" t="s">
        <v>44</v>
      </c>
      <c r="C519" s="58">
        <v>55.338999999999999</v>
      </c>
      <c r="D519" s="59">
        <v>0.3</v>
      </c>
      <c r="E519" s="17" t="s">
        <v>24</v>
      </c>
      <c r="F519" s="17" t="s">
        <v>140</v>
      </c>
      <c r="G519" s="17" t="s">
        <v>459</v>
      </c>
      <c r="H519" s="17" t="s">
        <v>64</v>
      </c>
      <c r="I519" s="17" t="s">
        <v>437</v>
      </c>
    </row>
    <row r="520" spans="1:9" ht="15.6">
      <c r="A520" s="17" t="s">
        <v>460</v>
      </c>
      <c r="B520" s="17" t="s">
        <v>44</v>
      </c>
      <c r="C520" s="58">
        <v>403.17</v>
      </c>
      <c r="D520" s="59">
        <v>0.3</v>
      </c>
      <c r="E520" s="17" t="s">
        <v>24</v>
      </c>
      <c r="F520" s="17" t="s">
        <v>140</v>
      </c>
      <c r="G520" s="17" t="s">
        <v>461</v>
      </c>
      <c r="H520" s="17" t="s">
        <v>64</v>
      </c>
      <c r="I520" s="17" t="s">
        <v>437</v>
      </c>
    </row>
    <row r="521" spans="1:9" ht="15.6">
      <c r="A521" s="17" t="s">
        <v>462</v>
      </c>
      <c r="B521" s="17" t="s">
        <v>44</v>
      </c>
      <c r="C521" s="58">
        <v>94.599000000000004</v>
      </c>
      <c r="D521" s="59">
        <v>0.3</v>
      </c>
      <c r="E521" s="17" t="s">
        <v>24</v>
      </c>
      <c r="F521" s="17" t="s">
        <v>140</v>
      </c>
      <c r="G521" s="17" t="s">
        <v>463</v>
      </c>
      <c r="H521" s="17" t="s">
        <v>64</v>
      </c>
      <c r="I521" s="17" t="s">
        <v>437</v>
      </c>
    </row>
    <row r="522" spans="1:9" ht="15.6">
      <c r="A522" s="17" t="s">
        <v>464</v>
      </c>
      <c r="B522" s="17" t="s">
        <v>44</v>
      </c>
      <c r="C522" s="58">
        <v>86.94</v>
      </c>
      <c r="D522" s="59">
        <v>0.3</v>
      </c>
      <c r="E522" s="17" t="s">
        <v>24</v>
      </c>
      <c r="F522" s="17" t="s">
        <v>140</v>
      </c>
      <c r="G522" s="17" t="s">
        <v>465</v>
      </c>
      <c r="H522" s="17" t="s">
        <v>64</v>
      </c>
      <c r="I522" s="17" t="s">
        <v>437</v>
      </c>
    </row>
    <row r="523" spans="1:9" ht="15.6">
      <c r="A523" s="17" t="s">
        <v>466</v>
      </c>
      <c r="B523" s="17" t="s">
        <v>44</v>
      </c>
      <c r="C523" s="58">
        <v>70.296000000000006</v>
      </c>
      <c r="D523" s="59">
        <v>0.3</v>
      </c>
      <c r="E523" s="17" t="s">
        <v>24</v>
      </c>
      <c r="F523" s="17" t="s">
        <v>140</v>
      </c>
      <c r="G523" s="17" t="s">
        <v>467</v>
      </c>
      <c r="H523" s="17" t="s">
        <v>64</v>
      </c>
      <c r="I523" s="17" t="s">
        <v>437</v>
      </c>
    </row>
    <row r="524" spans="1:9" ht="15.6">
      <c r="A524" s="17" t="s">
        <v>468</v>
      </c>
      <c r="B524" s="17" t="s">
        <v>44</v>
      </c>
      <c r="C524" s="58">
        <v>646.22</v>
      </c>
      <c r="D524" s="59">
        <v>0.3</v>
      </c>
      <c r="E524" s="17" t="s">
        <v>24</v>
      </c>
      <c r="F524" s="17" t="s">
        <v>140</v>
      </c>
      <c r="G524" s="17" t="s">
        <v>469</v>
      </c>
      <c r="H524" s="17" t="s">
        <v>64</v>
      </c>
      <c r="I524" s="17" t="s">
        <v>437</v>
      </c>
    </row>
    <row r="525" spans="1:9" ht="15.6">
      <c r="A525" s="17" t="s">
        <v>470</v>
      </c>
      <c r="B525" s="17" t="s">
        <v>74</v>
      </c>
      <c r="C525" s="58">
        <v>1.1529</v>
      </c>
      <c r="D525" s="59">
        <v>0.3</v>
      </c>
      <c r="E525" s="17" t="s">
        <v>24</v>
      </c>
      <c r="F525" s="17" t="s">
        <v>140</v>
      </c>
      <c r="G525" s="17" t="s">
        <v>471</v>
      </c>
      <c r="H525" s="17" t="s">
        <v>64</v>
      </c>
      <c r="I525" s="17" t="s">
        <v>437</v>
      </c>
    </row>
    <row r="526" spans="1:9" s="108" customFormat="1" ht="15.6">
      <c r="A526" s="105" t="s">
        <v>1407</v>
      </c>
      <c r="B526" s="105" t="s">
        <v>59</v>
      </c>
      <c r="C526" s="106">
        <v>-26.7</v>
      </c>
      <c r="D526" s="109">
        <v>0.4</v>
      </c>
      <c r="E526" s="105" t="s">
        <v>24</v>
      </c>
      <c r="F526" s="112" t="s">
        <v>144</v>
      </c>
      <c r="G526" s="105" t="s">
        <v>1408</v>
      </c>
      <c r="H526" s="105" t="s">
        <v>64</v>
      </c>
      <c r="I526" s="105" t="s">
        <v>437</v>
      </c>
    </row>
    <row r="527" spans="1:9">
      <c r="A527" s="17"/>
      <c r="B527" s="17"/>
      <c r="C527" s="17"/>
      <c r="D527" s="57"/>
      <c r="E527" s="17" t="s">
        <v>24</v>
      </c>
      <c r="F527" s="17"/>
      <c r="G527" s="17"/>
      <c r="H527" s="17"/>
      <c r="I527" s="17"/>
    </row>
    <row r="528" spans="1:9">
      <c r="A528" s="17" t="s">
        <v>472</v>
      </c>
      <c r="B528" s="17"/>
      <c r="C528" s="17"/>
      <c r="D528" s="57"/>
      <c r="E528" s="17" t="s">
        <v>24</v>
      </c>
      <c r="F528" s="17"/>
      <c r="G528" s="17"/>
      <c r="H528" s="17"/>
      <c r="I528" s="17"/>
    </row>
    <row r="529" spans="1:9" s="108" customFormat="1">
      <c r="A529" s="105" t="s">
        <v>1409</v>
      </c>
      <c r="B529" s="105" t="s">
        <v>55</v>
      </c>
      <c r="C529" s="106">
        <v>390</v>
      </c>
      <c r="D529" s="107">
        <v>0.2</v>
      </c>
      <c r="E529" s="105" t="s">
        <v>24</v>
      </c>
      <c r="F529" s="105" t="s">
        <v>1201</v>
      </c>
      <c r="G529" s="105"/>
      <c r="H529" s="105" t="s">
        <v>64</v>
      </c>
      <c r="I529" s="105" t="s">
        <v>473</v>
      </c>
    </row>
    <row r="530" spans="1:9" s="108" customFormat="1">
      <c r="A530" s="105" t="s">
        <v>1410</v>
      </c>
      <c r="B530" s="105" t="s">
        <v>55</v>
      </c>
      <c r="C530" s="106">
        <v>670</v>
      </c>
      <c r="D530" s="107">
        <v>0.2</v>
      </c>
      <c r="E530" s="105" t="s">
        <v>24</v>
      </c>
      <c r="F530" s="105" t="s">
        <v>1201</v>
      </c>
      <c r="G530" s="105"/>
      <c r="H530" s="105" t="s">
        <v>64</v>
      </c>
      <c r="I530" s="105" t="s">
        <v>473</v>
      </c>
    </row>
    <row r="531" spans="1:9" s="108" customFormat="1">
      <c r="A531" s="105" t="s">
        <v>474</v>
      </c>
      <c r="B531" s="105" t="s">
        <v>55</v>
      </c>
      <c r="C531" s="106">
        <v>919</v>
      </c>
      <c r="D531" s="107"/>
      <c r="E531" s="105" t="s">
        <v>24</v>
      </c>
      <c r="F531" s="105" t="s">
        <v>1201</v>
      </c>
      <c r="G531" s="105"/>
      <c r="H531" s="105" t="s">
        <v>64</v>
      </c>
      <c r="I531" s="105" t="s">
        <v>473</v>
      </c>
    </row>
    <row r="532" spans="1:9">
      <c r="A532" s="17"/>
      <c r="B532" s="17"/>
      <c r="C532" s="17"/>
      <c r="D532" s="57"/>
      <c r="E532" s="17" t="s">
        <v>24</v>
      </c>
      <c r="F532" s="17"/>
      <c r="G532" s="17"/>
      <c r="H532" s="17"/>
      <c r="I532" s="17"/>
    </row>
    <row r="533" spans="1:9">
      <c r="A533" s="17" t="s">
        <v>79</v>
      </c>
      <c r="B533" s="17"/>
      <c r="C533" s="17"/>
      <c r="D533" s="57"/>
      <c r="E533" s="17" t="s">
        <v>24</v>
      </c>
      <c r="F533" s="17"/>
      <c r="G533" s="17"/>
      <c r="H533" s="17"/>
      <c r="I533" s="17"/>
    </row>
    <row r="534" spans="1:9">
      <c r="A534" s="17" t="s">
        <v>480</v>
      </c>
      <c r="B534" s="17" t="s">
        <v>78</v>
      </c>
      <c r="C534" s="58">
        <v>58.104774517387504</v>
      </c>
      <c r="D534" s="57"/>
      <c r="E534" s="17" t="s">
        <v>24</v>
      </c>
      <c r="F534" s="17" t="s">
        <v>477</v>
      </c>
      <c r="G534" s="17" t="s">
        <v>481</v>
      </c>
      <c r="H534" s="17" t="s">
        <v>64</v>
      </c>
      <c r="I534" s="17" t="s">
        <v>475</v>
      </c>
    </row>
    <row r="535" spans="1:9">
      <c r="A535" s="17" t="s">
        <v>482</v>
      </c>
      <c r="B535" s="17" t="s">
        <v>78</v>
      </c>
      <c r="C535" s="58">
        <v>74.509586374007412</v>
      </c>
      <c r="D535" s="57"/>
      <c r="E535" s="17" t="s">
        <v>24</v>
      </c>
      <c r="F535" s="17" t="s">
        <v>477</v>
      </c>
      <c r="G535" s="17"/>
      <c r="H535" s="17" t="s">
        <v>64</v>
      </c>
      <c r="I535" s="17" t="s">
        <v>475</v>
      </c>
    </row>
    <row r="536" spans="1:9" ht="15.6">
      <c r="A536" s="58" t="s">
        <v>501</v>
      </c>
      <c r="B536" s="17" t="s">
        <v>78</v>
      </c>
      <c r="C536" s="65">
        <v>16.72</v>
      </c>
      <c r="D536" s="59">
        <v>0.3</v>
      </c>
      <c r="E536" s="17" t="s">
        <v>24</v>
      </c>
      <c r="F536" s="17" t="s">
        <v>141</v>
      </c>
      <c r="G536" s="17" t="s">
        <v>502</v>
      </c>
      <c r="H536" s="17" t="s">
        <v>64</v>
      </c>
      <c r="I536" s="17" t="s">
        <v>475</v>
      </c>
    </row>
    <row r="537" spans="1:9" ht="15.6">
      <c r="A537" s="58" t="s">
        <v>503</v>
      </c>
      <c r="B537" s="17" t="s">
        <v>78</v>
      </c>
      <c r="C537" s="65">
        <v>20.533333333333331</v>
      </c>
      <c r="D537" s="59">
        <v>0.3</v>
      </c>
      <c r="E537" s="17" t="s">
        <v>24</v>
      </c>
      <c r="F537" s="17" t="s">
        <v>141</v>
      </c>
      <c r="G537" s="17" t="s">
        <v>504</v>
      </c>
      <c r="H537" s="17" t="s">
        <v>64</v>
      </c>
      <c r="I537" s="17" t="s">
        <v>475</v>
      </c>
    </row>
    <row r="538" spans="1:9" ht="15.6">
      <c r="A538" s="58" t="s">
        <v>505</v>
      </c>
      <c r="B538" s="17" t="s">
        <v>78</v>
      </c>
      <c r="C538" s="65">
        <v>15.766666666666666</v>
      </c>
      <c r="D538" s="59">
        <v>0.3</v>
      </c>
      <c r="E538" s="17" t="s">
        <v>24</v>
      </c>
      <c r="F538" s="17" t="s">
        <v>141</v>
      </c>
      <c r="G538" s="17" t="s">
        <v>504</v>
      </c>
      <c r="H538" s="17" t="s">
        <v>64</v>
      </c>
      <c r="I538" s="17" t="s">
        <v>475</v>
      </c>
    </row>
    <row r="539" spans="1:9" ht="15.6">
      <c r="A539" s="58" t="s">
        <v>506</v>
      </c>
      <c r="B539" s="17" t="s">
        <v>78</v>
      </c>
      <c r="C539" s="65">
        <v>0.99099999999999999</v>
      </c>
      <c r="D539" s="59">
        <v>0.3</v>
      </c>
      <c r="E539" s="66" t="str">
        <f>E538</f>
        <v>Intrants</v>
      </c>
      <c r="F539" s="44" t="s">
        <v>495</v>
      </c>
      <c r="G539" s="44"/>
      <c r="H539" s="17" t="s">
        <v>64</v>
      </c>
      <c r="I539" s="17" t="s">
        <v>475</v>
      </c>
    </row>
    <row r="540" spans="1:9" s="108" customFormat="1">
      <c r="A540" s="105" t="s">
        <v>1411</v>
      </c>
      <c r="B540" s="105" t="s">
        <v>78</v>
      </c>
      <c r="C540" s="106">
        <v>0.38</v>
      </c>
      <c r="D540" s="107"/>
      <c r="E540" s="105" t="s">
        <v>24</v>
      </c>
      <c r="F540" s="105" t="s">
        <v>1201</v>
      </c>
      <c r="G540" s="105"/>
      <c r="H540" s="105" t="s">
        <v>64</v>
      </c>
      <c r="I540" s="105" t="s">
        <v>475</v>
      </c>
    </row>
    <row r="541" spans="1:9" s="108" customFormat="1">
      <c r="A541" s="105" t="s">
        <v>1412</v>
      </c>
      <c r="B541" s="105" t="s">
        <v>78</v>
      </c>
      <c r="C541" s="106">
        <v>7.4200000000000002E-2</v>
      </c>
      <c r="D541" s="107"/>
      <c r="E541" s="105" t="s">
        <v>24</v>
      </c>
      <c r="F541" s="105" t="s">
        <v>1201</v>
      </c>
      <c r="G541" s="105"/>
      <c r="H541" s="105" t="s">
        <v>64</v>
      </c>
      <c r="I541" s="105" t="s">
        <v>475</v>
      </c>
    </row>
    <row r="542" spans="1:9" s="108" customFormat="1">
      <c r="A542" s="105" t="s">
        <v>1413</v>
      </c>
      <c r="B542" s="105" t="s">
        <v>78</v>
      </c>
      <c r="C542" s="106">
        <v>2.1600000000000001E-2</v>
      </c>
      <c r="D542" s="107"/>
      <c r="E542" s="105" t="s">
        <v>24</v>
      </c>
      <c r="F542" s="105" t="s">
        <v>1201</v>
      </c>
      <c r="G542" s="105"/>
      <c r="H542" s="105" t="s">
        <v>64</v>
      </c>
      <c r="I542" s="105" t="s">
        <v>475</v>
      </c>
    </row>
    <row r="543" spans="1:9">
      <c r="A543" s="17" t="s">
        <v>476</v>
      </c>
      <c r="B543" s="17" t="s">
        <v>78</v>
      </c>
      <c r="C543" s="58">
        <v>5.6830002693333341</v>
      </c>
      <c r="D543" s="57"/>
      <c r="E543" s="17" t="s">
        <v>24</v>
      </c>
      <c r="F543" s="17" t="s">
        <v>477</v>
      </c>
      <c r="G543" s="17"/>
      <c r="H543" s="17" t="s">
        <v>64</v>
      </c>
      <c r="I543" s="17" t="s">
        <v>475</v>
      </c>
    </row>
    <row r="544" spans="1:9">
      <c r="A544" s="17" t="s">
        <v>478</v>
      </c>
      <c r="B544" s="17" t="s">
        <v>78</v>
      </c>
      <c r="C544" s="58">
        <v>0.25741813066666658</v>
      </c>
      <c r="D544" s="57"/>
      <c r="E544" s="17" t="s">
        <v>24</v>
      </c>
      <c r="F544" s="17" t="s">
        <v>477</v>
      </c>
      <c r="G544" s="17"/>
      <c r="H544" s="17" t="s">
        <v>64</v>
      </c>
      <c r="I544" s="17" t="s">
        <v>475</v>
      </c>
    </row>
    <row r="545" spans="1:10">
      <c r="A545" s="17" t="s">
        <v>479</v>
      </c>
      <c r="B545" s="17" t="s">
        <v>78</v>
      </c>
      <c r="C545" s="58">
        <v>0.35092749999999995</v>
      </c>
      <c r="D545" s="57"/>
      <c r="E545" s="17" t="s">
        <v>24</v>
      </c>
      <c r="F545" s="17" t="s">
        <v>477</v>
      </c>
      <c r="G545" s="17"/>
      <c r="H545" s="17" t="s">
        <v>64</v>
      </c>
      <c r="I545" s="17" t="s">
        <v>475</v>
      </c>
    </row>
    <row r="546" spans="1:10" s="108" customFormat="1">
      <c r="A546" s="105" t="s">
        <v>1414</v>
      </c>
      <c r="B546" s="105" t="s">
        <v>78</v>
      </c>
      <c r="C546" s="106">
        <v>19.96</v>
      </c>
      <c r="D546" s="107"/>
      <c r="E546" s="105" t="s">
        <v>24</v>
      </c>
      <c r="F546" s="105" t="s">
        <v>1105</v>
      </c>
      <c r="G546" s="105"/>
      <c r="H546" s="105" t="s">
        <v>64</v>
      </c>
      <c r="I546" s="105" t="s">
        <v>475</v>
      </c>
    </row>
    <row r="547" spans="1:10" s="108" customFormat="1">
      <c r="A547" s="105" t="s">
        <v>1415</v>
      </c>
      <c r="B547" s="105" t="s">
        <v>78</v>
      </c>
      <c r="C547" s="106">
        <v>23.68</v>
      </c>
      <c r="D547" s="107"/>
      <c r="E547" s="105" t="s">
        <v>24</v>
      </c>
      <c r="F547" s="105" t="s">
        <v>1105</v>
      </c>
      <c r="G547" s="105"/>
      <c r="H547" s="105" t="s">
        <v>64</v>
      </c>
      <c r="I547" s="105" t="s">
        <v>475</v>
      </c>
    </row>
    <row r="548" spans="1:10" s="108" customFormat="1">
      <c r="A548" s="105" t="s">
        <v>1416</v>
      </c>
      <c r="B548" s="105" t="s">
        <v>78</v>
      </c>
      <c r="C548" s="106">
        <v>8.32</v>
      </c>
      <c r="D548" s="107"/>
      <c r="E548" s="105" t="s">
        <v>24</v>
      </c>
      <c r="F548" s="105" t="s">
        <v>1105</v>
      </c>
      <c r="G548" s="105"/>
      <c r="H548" s="105" t="s">
        <v>64</v>
      </c>
      <c r="I548" s="105" t="s">
        <v>475</v>
      </c>
    </row>
    <row r="549" spans="1:10" s="108" customFormat="1">
      <c r="A549" s="105" t="s">
        <v>1417</v>
      </c>
      <c r="B549" s="105" t="s">
        <v>78</v>
      </c>
      <c r="C549" s="106">
        <v>11.84</v>
      </c>
      <c r="D549" s="107"/>
      <c r="E549" s="105" t="s">
        <v>24</v>
      </c>
      <c r="F549" s="105" t="s">
        <v>1105</v>
      </c>
      <c r="G549" s="105"/>
      <c r="H549" s="105" t="s">
        <v>64</v>
      </c>
      <c r="I549" s="105" t="s">
        <v>475</v>
      </c>
    </row>
    <row r="550" spans="1:10" ht="15.6">
      <c r="A550" s="58" t="s">
        <v>498</v>
      </c>
      <c r="B550" s="17" t="s">
        <v>62</v>
      </c>
      <c r="C550" s="65">
        <v>161.33333333333331</v>
      </c>
      <c r="D550" s="59">
        <v>0.3</v>
      </c>
      <c r="E550" s="17" t="s">
        <v>24</v>
      </c>
      <c r="F550" s="17" t="s">
        <v>141</v>
      </c>
      <c r="G550" s="17"/>
      <c r="H550" s="17" t="s">
        <v>64</v>
      </c>
      <c r="I550" s="17" t="s">
        <v>475</v>
      </c>
    </row>
    <row r="551" spans="1:10" s="108" customFormat="1" ht="15.6">
      <c r="A551" s="114" t="s">
        <v>87</v>
      </c>
      <c r="B551" s="105" t="s">
        <v>507</v>
      </c>
      <c r="C551" s="119">
        <v>825</v>
      </c>
      <c r="D551" s="109">
        <v>0.5</v>
      </c>
      <c r="E551" s="105" t="s">
        <v>24</v>
      </c>
      <c r="F551" s="105" t="s">
        <v>1201</v>
      </c>
      <c r="G551" s="105"/>
      <c r="H551" s="105" t="s">
        <v>64</v>
      </c>
      <c r="I551" s="105" t="s">
        <v>475</v>
      </c>
    </row>
    <row r="552" spans="1:10" s="108" customFormat="1" ht="15.6">
      <c r="A552" s="114" t="s">
        <v>90</v>
      </c>
      <c r="B552" s="105" t="s">
        <v>507</v>
      </c>
      <c r="C552" s="119">
        <v>275</v>
      </c>
      <c r="D552" s="109">
        <v>0.5</v>
      </c>
      <c r="E552" s="105" t="s">
        <v>24</v>
      </c>
      <c r="F552" s="105" t="s">
        <v>1201</v>
      </c>
      <c r="G552" s="105"/>
      <c r="H552" s="105" t="s">
        <v>64</v>
      </c>
      <c r="I552" s="105" t="s">
        <v>475</v>
      </c>
    </row>
    <row r="553" spans="1:10" s="108" customFormat="1" ht="15.6">
      <c r="A553" s="106" t="s">
        <v>1418</v>
      </c>
      <c r="B553" s="105" t="s">
        <v>507</v>
      </c>
      <c r="C553" s="119">
        <v>650</v>
      </c>
      <c r="D553" s="109">
        <v>0.5</v>
      </c>
      <c r="E553" s="105" t="s">
        <v>24</v>
      </c>
      <c r="F553" s="105" t="s">
        <v>1201</v>
      </c>
      <c r="G553" s="105"/>
      <c r="H553" s="105" t="s">
        <v>64</v>
      </c>
      <c r="I553" s="105" t="s">
        <v>475</v>
      </c>
    </row>
    <row r="554" spans="1:10" ht="15.6">
      <c r="A554" s="58" t="s">
        <v>93</v>
      </c>
      <c r="B554" s="17" t="s">
        <v>59</v>
      </c>
      <c r="C554" s="65">
        <v>4.1603614450852655</v>
      </c>
      <c r="D554" s="59">
        <v>0.3</v>
      </c>
      <c r="E554" s="17" t="s">
        <v>24</v>
      </c>
      <c r="F554" s="17" t="s">
        <v>493</v>
      </c>
      <c r="G554" s="17"/>
      <c r="H554" s="17" t="s">
        <v>64</v>
      </c>
      <c r="I554" s="17" t="s">
        <v>475</v>
      </c>
    </row>
    <row r="555" spans="1:10">
      <c r="A555" s="17" t="s">
        <v>486</v>
      </c>
      <c r="B555" s="17" t="s">
        <v>62</v>
      </c>
      <c r="C555" s="58">
        <v>14.032380952380953</v>
      </c>
      <c r="D555" s="57"/>
      <c r="E555" s="17" t="s">
        <v>24</v>
      </c>
      <c r="F555" s="17" t="s">
        <v>477</v>
      </c>
      <c r="G555" s="64" t="s">
        <v>487</v>
      </c>
      <c r="H555" s="17" t="s">
        <v>64</v>
      </c>
      <c r="I555" s="17" t="s">
        <v>475</v>
      </c>
      <c r="J555" s="64"/>
    </row>
    <row r="556" spans="1:10" ht="15.6">
      <c r="A556" s="58" t="s">
        <v>499</v>
      </c>
      <c r="B556" s="17" t="s">
        <v>78</v>
      </c>
      <c r="C556" s="65">
        <v>12.1</v>
      </c>
      <c r="D556" s="59">
        <v>0.3</v>
      </c>
      <c r="E556" s="17" t="s">
        <v>24</v>
      </c>
      <c r="F556" s="17" t="s">
        <v>141</v>
      </c>
      <c r="G556" s="17" t="s">
        <v>500</v>
      </c>
      <c r="H556" s="17" t="s">
        <v>64</v>
      </c>
      <c r="I556" s="17" t="s">
        <v>475</v>
      </c>
    </row>
    <row r="557" spans="1:10" ht="15.6">
      <c r="A557" s="58" t="s">
        <v>112</v>
      </c>
      <c r="B557" s="17" t="s">
        <v>62</v>
      </c>
      <c r="C557" s="65">
        <v>7.9</v>
      </c>
      <c r="D557" s="59">
        <v>0.3</v>
      </c>
      <c r="E557" s="17" t="s">
        <v>24</v>
      </c>
      <c r="F557" s="17" t="s">
        <v>495</v>
      </c>
      <c r="G557" s="17"/>
      <c r="H557" s="17" t="s">
        <v>64</v>
      </c>
      <c r="I557" s="17" t="s">
        <v>475</v>
      </c>
    </row>
    <row r="558" spans="1:10" ht="15.6">
      <c r="A558" s="58" t="s">
        <v>496</v>
      </c>
      <c r="B558" s="17" t="s">
        <v>62</v>
      </c>
      <c r="C558" s="65">
        <v>9</v>
      </c>
      <c r="D558" s="59">
        <v>0.3</v>
      </c>
      <c r="E558" s="17" t="s">
        <v>24</v>
      </c>
      <c r="F558" s="17" t="s">
        <v>495</v>
      </c>
      <c r="G558" s="17"/>
      <c r="H558" s="17" t="s">
        <v>64</v>
      </c>
      <c r="I558" s="17" t="s">
        <v>475</v>
      </c>
    </row>
    <row r="559" spans="1:10" s="108" customFormat="1" ht="15.6">
      <c r="A559" s="105" t="s">
        <v>1419</v>
      </c>
      <c r="B559" s="105" t="s">
        <v>78</v>
      </c>
      <c r="C559" s="106">
        <v>115</v>
      </c>
      <c r="D559" s="109"/>
      <c r="E559" s="105" t="s">
        <v>24</v>
      </c>
      <c r="F559" s="105" t="s">
        <v>1190</v>
      </c>
      <c r="G559" s="105"/>
      <c r="H559" s="105" t="s">
        <v>64</v>
      </c>
      <c r="I559" s="105" t="s">
        <v>475</v>
      </c>
    </row>
    <row r="560" spans="1:10" s="108" customFormat="1" ht="15.6">
      <c r="A560" s="105" t="s">
        <v>1420</v>
      </c>
      <c r="B560" s="105" t="s">
        <v>78</v>
      </c>
      <c r="C560" s="106">
        <v>145</v>
      </c>
      <c r="D560" s="109"/>
      <c r="E560" s="105" t="s">
        <v>24</v>
      </c>
      <c r="F560" s="105" t="s">
        <v>1190</v>
      </c>
      <c r="G560" s="105"/>
      <c r="H560" s="105" t="s">
        <v>64</v>
      </c>
      <c r="I560" s="105" t="s">
        <v>475</v>
      </c>
    </row>
    <row r="561" spans="1:9" s="108" customFormat="1" ht="15.6">
      <c r="A561" s="105" t="s">
        <v>1421</v>
      </c>
      <c r="B561" s="105" t="s">
        <v>78</v>
      </c>
      <c r="C561" s="106">
        <v>87.5</v>
      </c>
      <c r="D561" s="109">
        <v>0.15</v>
      </c>
      <c r="E561" s="105" t="s">
        <v>24</v>
      </c>
      <c r="F561" s="105" t="s">
        <v>1201</v>
      </c>
      <c r="G561" s="105"/>
      <c r="H561" s="105" t="s">
        <v>64</v>
      </c>
      <c r="I561" s="105" t="s">
        <v>475</v>
      </c>
    </row>
    <row r="562" spans="1:9" s="108" customFormat="1" ht="15.6">
      <c r="A562" s="105" t="s">
        <v>1422</v>
      </c>
      <c r="B562" s="105" t="s">
        <v>78</v>
      </c>
      <c r="C562" s="106">
        <v>280</v>
      </c>
      <c r="D562" s="109">
        <v>0.15</v>
      </c>
      <c r="E562" s="105" t="s">
        <v>24</v>
      </c>
      <c r="F562" s="105" t="s">
        <v>1201</v>
      </c>
      <c r="G562" s="105"/>
      <c r="H562" s="105" t="s">
        <v>64</v>
      </c>
      <c r="I562" s="105" t="s">
        <v>475</v>
      </c>
    </row>
    <row r="563" spans="1:9" s="108" customFormat="1" ht="15.6">
      <c r="A563" s="105" t="s">
        <v>1423</v>
      </c>
      <c r="B563" s="105" t="s">
        <v>78</v>
      </c>
      <c r="C563" s="106">
        <v>280</v>
      </c>
      <c r="D563" s="109">
        <v>0.15</v>
      </c>
      <c r="E563" s="105" t="s">
        <v>24</v>
      </c>
      <c r="F563" s="105" t="s">
        <v>1201</v>
      </c>
      <c r="G563" s="105"/>
      <c r="H563" s="105" t="s">
        <v>64</v>
      </c>
      <c r="I563" s="105" t="s">
        <v>475</v>
      </c>
    </row>
    <row r="564" spans="1:9" s="108" customFormat="1" ht="15.6">
      <c r="A564" s="105" t="s">
        <v>1424</v>
      </c>
      <c r="B564" s="105" t="s">
        <v>78</v>
      </c>
      <c r="C564" s="106">
        <v>95</v>
      </c>
      <c r="D564" s="109"/>
      <c r="E564" s="105" t="s">
        <v>24</v>
      </c>
      <c r="F564" s="105" t="s">
        <v>1190</v>
      </c>
      <c r="G564" s="105"/>
      <c r="H564" s="105" t="s">
        <v>64</v>
      </c>
      <c r="I564" s="105" t="s">
        <v>475</v>
      </c>
    </row>
    <row r="565" spans="1:9" s="108" customFormat="1" ht="15.6">
      <c r="A565" s="105" t="s">
        <v>1425</v>
      </c>
      <c r="B565" s="105" t="s">
        <v>78</v>
      </c>
      <c r="C565" s="106">
        <v>75</v>
      </c>
      <c r="D565" s="109"/>
      <c r="E565" s="105" t="s">
        <v>24</v>
      </c>
      <c r="F565" s="105" t="s">
        <v>1190</v>
      </c>
      <c r="G565" s="105"/>
      <c r="H565" s="105" t="s">
        <v>64</v>
      </c>
      <c r="I565" s="105" t="s">
        <v>475</v>
      </c>
    </row>
    <row r="566" spans="1:9" s="108" customFormat="1" ht="15.6">
      <c r="A566" s="105" t="s">
        <v>1426</v>
      </c>
      <c r="B566" s="105" t="s">
        <v>78</v>
      </c>
      <c r="C566" s="106">
        <v>55</v>
      </c>
      <c r="D566" s="109"/>
      <c r="E566" s="105" t="s">
        <v>24</v>
      </c>
      <c r="F566" s="105" t="s">
        <v>1190</v>
      </c>
      <c r="G566" s="105"/>
      <c r="H566" s="105" t="s">
        <v>64</v>
      </c>
      <c r="I566" s="105" t="s">
        <v>475</v>
      </c>
    </row>
    <row r="567" spans="1:9" s="108" customFormat="1" ht="15.6">
      <c r="A567" s="105" t="s">
        <v>1427</v>
      </c>
      <c r="B567" s="105" t="s">
        <v>78</v>
      </c>
      <c r="C567" s="106">
        <v>145</v>
      </c>
      <c r="D567" s="109"/>
      <c r="E567" s="105" t="s">
        <v>24</v>
      </c>
      <c r="F567" s="105" t="s">
        <v>1190</v>
      </c>
      <c r="G567" s="105"/>
      <c r="H567" s="105" t="s">
        <v>64</v>
      </c>
      <c r="I567" s="105" t="s">
        <v>475</v>
      </c>
    </row>
    <row r="568" spans="1:9" s="108" customFormat="1" ht="15.6">
      <c r="A568" s="105" t="s">
        <v>1428</v>
      </c>
      <c r="B568" s="105" t="s">
        <v>78</v>
      </c>
      <c r="C568" s="106">
        <v>115</v>
      </c>
      <c r="D568" s="109"/>
      <c r="E568" s="105" t="s">
        <v>24</v>
      </c>
      <c r="F568" s="105" t="s">
        <v>1190</v>
      </c>
      <c r="G568" s="105"/>
      <c r="H568" s="105" t="s">
        <v>64</v>
      </c>
      <c r="I568" s="105" t="s">
        <v>475</v>
      </c>
    </row>
    <row r="569" spans="1:9" s="108" customFormat="1" ht="15.6">
      <c r="A569" s="105" t="s">
        <v>1429</v>
      </c>
      <c r="B569" s="105" t="s">
        <v>78</v>
      </c>
      <c r="C569" s="106">
        <v>130</v>
      </c>
      <c r="D569" s="109"/>
      <c r="E569" s="105" t="s">
        <v>24</v>
      </c>
      <c r="F569" s="105" t="s">
        <v>1190</v>
      </c>
      <c r="G569" s="105"/>
      <c r="H569" s="105" t="s">
        <v>64</v>
      </c>
      <c r="I569" s="105" t="s">
        <v>475</v>
      </c>
    </row>
    <row r="570" spans="1:9" s="108" customFormat="1">
      <c r="A570" s="105" t="s">
        <v>1430</v>
      </c>
      <c r="B570" s="105" t="s">
        <v>78</v>
      </c>
      <c r="C570" s="106">
        <v>31.4</v>
      </c>
      <c r="D570" s="107"/>
      <c r="E570" s="105" t="s">
        <v>24</v>
      </c>
      <c r="F570" s="105" t="s">
        <v>144</v>
      </c>
      <c r="G570" s="105" t="s">
        <v>1431</v>
      </c>
      <c r="H570" s="105" t="s">
        <v>64</v>
      </c>
      <c r="I570" s="105" t="s">
        <v>475</v>
      </c>
    </row>
    <row r="571" spans="1:9">
      <c r="A571" s="17" t="s">
        <v>483</v>
      </c>
      <c r="B571" s="17" t="s">
        <v>59</v>
      </c>
      <c r="C571" s="58">
        <v>30.163761747621145</v>
      </c>
      <c r="D571" s="57">
        <v>0.2</v>
      </c>
      <c r="E571" s="17" t="s">
        <v>24</v>
      </c>
      <c r="F571" s="17" t="s">
        <v>477</v>
      </c>
      <c r="G571" s="17" t="s">
        <v>484</v>
      </c>
      <c r="H571" s="17" t="s">
        <v>64</v>
      </c>
      <c r="I571" s="17" t="s">
        <v>475</v>
      </c>
    </row>
    <row r="572" spans="1:9">
      <c r="A572" s="17" t="s">
        <v>485</v>
      </c>
      <c r="B572" s="17" t="s">
        <v>59</v>
      </c>
      <c r="C572" s="58">
        <v>30.163761747621145</v>
      </c>
      <c r="D572" s="57">
        <v>0.2</v>
      </c>
      <c r="E572" s="17" t="s">
        <v>24</v>
      </c>
      <c r="F572" s="17" t="s">
        <v>477</v>
      </c>
      <c r="G572" s="17" t="s">
        <v>484</v>
      </c>
      <c r="H572" s="17" t="s">
        <v>64</v>
      </c>
      <c r="I572" s="17" t="s">
        <v>475</v>
      </c>
    </row>
    <row r="573" spans="1:9" s="108" customFormat="1" ht="15.6">
      <c r="A573" s="106" t="s">
        <v>1432</v>
      </c>
      <c r="B573" s="105" t="s">
        <v>1433</v>
      </c>
      <c r="C573" s="119">
        <v>1172</v>
      </c>
      <c r="D573" s="109">
        <v>0.3</v>
      </c>
      <c r="E573" s="105" t="s">
        <v>24</v>
      </c>
      <c r="F573" s="105" t="s">
        <v>1434</v>
      </c>
      <c r="G573" s="105"/>
      <c r="H573" s="105" t="s">
        <v>64</v>
      </c>
      <c r="I573" s="105" t="s">
        <v>475</v>
      </c>
    </row>
    <row r="574" spans="1:9" s="108" customFormat="1" ht="15.6">
      <c r="A574" s="106" t="s">
        <v>1435</v>
      </c>
      <c r="B574" s="105" t="s">
        <v>59</v>
      </c>
      <c r="C574" s="119">
        <v>337</v>
      </c>
      <c r="D574" s="109">
        <v>0.15</v>
      </c>
      <c r="E574" s="105" t="s">
        <v>24</v>
      </c>
      <c r="F574" s="105" t="s">
        <v>1201</v>
      </c>
      <c r="G574" s="105"/>
      <c r="H574" s="105" t="s">
        <v>64</v>
      </c>
      <c r="I574" s="105" t="s">
        <v>475</v>
      </c>
    </row>
    <row r="575" spans="1:9" s="108" customFormat="1" ht="15.6">
      <c r="A575" s="106" t="s">
        <v>1436</v>
      </c>
      <c r="B575" s="105" t="s">
        <v>59</v>
      </c>
      <c r="C575" s="119">
        <v>92</v>
      </c>
      <c r="D575" s="109">
        <v>0.15</v>
      </c>
      <c r="E575" s="105" t="s">
        <v>24</v>
      </c>
      <c r="F575" s="105" t="s">
        <v>1201</v>
      </c>
      <c r="G575" s="105"/>
      <c r="H575" s="105" t="s">
        <v>64</v>
      </c>
      <c r="I575" s="105" t="s">
        <v>475</v>
      </c>
    </row>
    <row r="576" spans="1:9" s="108" customFormat="1" ht="15.6">
      <c r="A576" s="106" t="s">
        <v>1437</v>
      </c>
      <c r="B576" s="105" t="s">
        <v>59</v>
      </c>
      <c r="C576" s="119">
        <v>165</v>
      </c>
      <c r="D576" s="109">
        <v>0.15</v>
      </c>
      <c r="E576" s="105" t="s">
        <v>24</v>
      </c>
      <c r="F576" s="105" t="s">
        <v>1201</v>
      </c>
      <c r="G576" s="105"/>
      <c r="H576" s="105" t="s">
        <v>64</v>
      </c>
      <c r="I576" s="105" t="s">
        <v>475</v>
      </c>
    </row>
    <row r="577" spans="1:9" s="108" customFormat="1" ht="15.6">
      <c r="A577" s="106" t="s">
        <v>1438</v>
      </c>
      <c r="B577" s="105" t="s">
        <v>59</v>
      </c>
      <c r="C577" s="119">
        <v>319</v>
      </c>
      <c r="D577" s="109">
        <v>0.15</v>
      </c>
      <c r="E577" s="105" t="s">
        <v>24</v>
      </c>
      <c r="F577" s="105" t="s">
        <v>1201</v>
      </c>
      <c r="G577" s="105"/>
      <c r="H577" s="105" t="s">
        <v>64</v>
      </c>
      <c r="I577" s="105" t="s">
        <v>475</v>
      </c>
    </row>
    <row r="578" spans="1:9" s="108" customFormat="1" ht="15.6">
      <c r="A578" s="106" t="s">
        <v>1439</v>
      </c>
      <c r="B578" s="105" t="s">
        <v>59</v>
      </c>
      <c r="C578" s="119">
        <v>73</v>
      </c>
      <c r="D578" s="109">
        <v>0.15</v>
      </c>
      <c r="E578" s="105" t="s">
        <v>24</v>
      </c>
      <c r="F578" s="105" t="s">
        <v>1201</v>
      </c>
      <c r="G578" s="105"/>
      <c r="H578" s="105" t="s">
        <v>64</v>
      </c>
      <c r="I578" s="105" t="s">
        <v>475</v>
      </c>
    </row>
    <row r="579" spans="1:9" s="108" customFormat="1" ht="15.6">
      <c r="A579" s="106" t="s">
        <v>1440</v>
      </c>
      <c r="B579" s="105" t="s">
        <v>59</v>
      </c>
      <c r="C579" s="119">
        <v>165</v>
      </c>
      <c r="D579" s="109">
        <v>0.15</v>
      </c>
      <c r="E579" s="105" t="s">
        <v>24</v>
      </c>
      <c r="F579" s="105" t="s">
        <v>1201</v>
      </c>
      <c r="G579" s="105"/>
      <c r="H579" s="105" t="s">
        <v>64</v>
      </c>
      <c r="I579" s="105" t="s">
        <v>475</v>
      </c>
    </row>
    <row r="580" spans="1:9" ht="15.6">
      <c r="A580" s="58" t="s">
        <v>488</v>
      </c>
      <c r="B580" s="17" t="s">
        <v>62</v>
      </c>
      <c r="C580" s="65">
        <v>421666.66666666669</v>
      </c>
      <c r="D580" s="59">
        <v>0.3</v>
      </c>
      <c r="E580" s="17" t="s">
        <v>24</v>
      </c>
      <c r="F580" s="17" t="s">
        <v>141</v>
      </c>
      <c r="G580" s="17"/>
      <c r="H580" s="17" t="s">
        <v>64</v>
      </c>
      <c r="I580" s="17" t="s">
        <v>475</v>
      </c>
    </row>
    <row r="581" spans="1:9" ht="15.6">
      <c r="A581" s="58" t="s">
        <v>489</v>
      </c>
      <c r="B581" s="17" t="s">
        <v>62</v>
      </c>
      <c r="C581" s="65">
        <v>348333.33333333331</v>
      </c>
      <c r="D581" s="59">
        <v>0.3</v>
      </c>
      <c r="E581" s="17" t="s">
        <v>24</v>
      </c>
      <c r="F581" s="17" t="s">
        <v>141</v>
      </c>
      <c r="G581" s="17"/>
      <c r="H581" s="17" t="s">
        <v>64</v>
      </c>
      <c r="I581" s="17" t="s">
        <v>475</v>
      </c>
    </row>
    <row r="582" spans="1:9" ht="15.6">
      <c r="A582" s="17" t="s">
        <v>94</v>
      </c>
      <c r="B582" s="17" t="s">
        <v>507</v>
      </c>
      <c r="C582" s="65">
        <v>200</v>
      </c>
      <c r="D582" s="59">
        <v>0.3</v>
      </c>
      <c r="E582" s="17" t="s">
        <v>24</v>
      </c>
      <c r="F582" s="17" t="s">
        <v>508</v>
      </c>
      <c r="G582" s="17"/>
      <c r="H582" s="17" t="s">
        <v>64</v>
      </c>
      <c r="I582" s="17" t="s">
        <v>475</v>
      </c>
    </row>
    <row r="583" spans="1:9" ht="15.6">
      <c r="A583" s="58" t="s">
        <v>492</v>
      </c>
      <c r="B583" s="17" t="s">
        <v>62</v>
      </c>
      <c r="C583" s="65">
        <v>2566666.6666666665</v>
      </c>
      <c r="D583" s="59">
        <v>0.3</v>
      </c>
      <c r="E583" s="17" t="s">
        <v>24</v>
      </c>
      <c r="F583" s="17" t="s">
        <v>141</v>
      </c>
      <c r="G583" s="17"/>
      <c r="H583" s="17" t="s">
        <v>64</v>
      </c>
      <c r="I583" s="17" t="s">
        <v>475</v>
      </c>
    </row>
    <row r="584" spans="1:9" ht="15.6">
      <c r="A584" s="58" t="s">
        <v>497</v>
      </c>
      <c r="B584" s="17" t="s">
        <v>62</v>
      </c>
      <c r="C584" s="65">
        <v>2005.6666666666665</v>
      </c>
      <c r="D584" s="59">
        <v>0.3</v>
      </c>
      <c r="E584" s="17" t="s">
        <v>24</v>
      </c>
      <c r="F584" s="17" t="s">
        <v>141</v>
      </c>
      <c r="G584" s="17"/>
      <c r="H584" s="17" t="s">
        <v>64</v>
      </c>
      <c r="I584" s="17" t="s">
        <v>475</v>
      </c>
    </row>
    <row r="585" spans="1:9" ht="15.6">
      <c r="A585" s="58" t="s">
        <v>111</v>
      </c>
      <c r="B585" s="17" t="s">
        <v>62</v>
      </c>
      <c r="C585" s="65">
        <v>84.333333333333329</v>
      </c>
      <c r="D585" s="59">
        <v>0.3</v>
      </c>
      <c r="E585" s="17" t="s">
        <v>24</v>
      </c>
      <c r="F585" s="17" t="s">
        <v>141</v>
      </c>
      <c r="G585" s="17"/>
      <c r="H585" s="17" t="s">
        <v>64</v>
      </c>
      <c r="I585" s="17" t="s">
        <v>475</v>
      </c>
    </row>
    <row r="586" spans="1:9" ht="15.6">
      <c r="A586" s="58" t="s">
        <v>494</v>
      </c>
      <c r="B586" s="17" t="s">
        <v>62</v>
      </c>
      <c r="C586" s="65">
        <v>46.1</v>
      </c>
      <c r="D586" s="59">
        <v>0.3</v>
      </c>
      <c r="E586" s="17" t="s">
        <v>24</v>
      </c>
      <c r="F586" s="17" t="s">
        <v>495</v>
      </c>
      <c r="G586" s="17"/>
      <c r="H586" s="17" t="s">
        <v>64</v>
      </c>
      <c r="I586" s="17" t="s">
        <v>475</v>
      </c>
    </row>
    <row r="587" spans="1:9" ht="15.6">
      <c r="A587" s="58" t="s">
        <v>490</v>
      </c>
      <c r="B587" s="17" t="s">
        <v>45</v>
      </c>
      <c r="C587" s="65">
        <v>23000000</v>
      </c>
      <c r="D587" s="59">
        <v>0.3</v>
      </c>
      <c r="E587" s="17" t="s">
        <v>24</v>
      </c>
      <c r="F587" s="17" t="s">
        <v>141</v>
      </c>
      <c r="G587" s="17"/>
      <c r="H587" s="17" t="s">
        <v>64</v>
      </c>
      <c r="I587" s="17" t="s">
        <v>475</v>
      </c>
    </row>
    <row r="588" spans="1:9" ht="15.6">
      <c r="A588" s="58" t="s">
        <v>491</v>
      </c>
      <c r="B588" s="17" t="s">
        <v>45</v>
      </c>
      <c r="C588" s="65">
        <v>24000000</v>
      </c>
      <c r="D588" s="59">
        <v>0.3</v>
      </c>
      <c r="E588" s="17" t="s">
        <v>24</v>
      </c>
      <c r="F588" s="17" t="s">
        <v>141</v>
      </c>
      <c r="G588" s="17"/>
      <c r="H588" s="17" t="s">
        <v>64</v>
      </c>
      <c r="I588" s="17" t="s">
        <v>475</v>
      </c>
    </row>
    <row r="589" spans="1:9" s="108" customFormat="1" ht="15.6">
      <c r="A589" s="106" t="s">
        <v>1441</v>
      </c>
      <c r="B589" s="105" t="s">
        <v>59</v>
      </c>
      <c r="C589" s="119">
        <v>85</v>
      </c>
      <c r="D589" s="109">
        <v>0.15</v>
      </c>
      <c r="E589" s="105" t="s">
        <v>24</v>
      </c>
      <c r="F589" s="105" t="s">
        <v>1201</v>
      </c>
      <c r="G589" s="105"/>
      <c r="H589" s="105" t="s">
        <v>64</v>
      </c>
      <c r="I589" s="105" t="s">
        <v>475</v>
      </c>
    </row>
    <row r="590" spans="1:9" s="108" customFormat="1" ht="15.6">
      <c r="A590" s="106" t="s">
        <v>1442</v>
      </c>
      <c r="B590" s="105" t="s">
        <v>59</v>
      </c>
      <c r="C590" s="119">
        <v>15</v>
      </c>
      <c r="D590" s="109">
        <v>0.15</v>
      </c>
      <c r="E590" s="105" t="s">
        <v>24</v>
      </c>
      <c r="F590" s="105" t="s">
        <v>1201</v>
      </c>
      <c r="G590" s="105"/>
      <c r="H590" s="105" t="s">
        <v>64</v>
      </c>
      <c r="I590" s="105" t="s">
        <v>475</v>
      </c>
    </row>
    <row r="591" spans="1:9" s="108" customFormat="1" ht="15.6">
      <c r="A591" s="106" t="s">
        <v>1443</v>
      </c>
      <c r="B591" s="105" t="s">
        <v>59</v>
      </c>
      <c r="C591" s="119">
        <v>40</v>
      </c>
      <c r="D591" s="109">
        <v>0.15</v>
      </c>
      <c r="E591" s="105" t="s">
        <v>24</v>
      </c>
      <c r="F591" s="105" t="s">
        <v>1201</v>
      </c>
      <c r="G591" s="105"/>
      <c r="H591" s="105" t="s">
        <v>64</v>
      </c>
      <c r="I591" s="105" t="s">
        <v>475</v>
      </c>
    </row>
    <row r="592" spans="1:9" s="108" customFormat="1" ht="15.6">
      <c r="A592" s="106" t="s">
        <v>1444</v>
      </c>
      <c r="B592" s="105" t="s">
        <v>59</v>
      </c>
      <c r="C592" s="119">
        <v>87</v>
      </c>
      <c r="D592" s="109">
        <v>0.15</v>
      </c>
      <c r="E592" s="105" t="s">
        <v>24</v>
      </c>
      <c r="F592" s="105" t="s">
        <v>1201</v>
      </c>
      <c r="G592" s="105"/>
      <c r="H592" s="105" t="s">
        <v>64</v>
      </c>
      <c r="I592" s="105" t="s">
        <v>475</v>
      </c>
    </row>
    <row r="593" spans="1:9" s="108" customFormat="1" ht="15.6">
      <c r="A593" s="106" t="s">
        <v>1445</v>
      </c>
      <c r="B593" s="105" t="s">
        <v>59</v>
      </c>
      <c r="C593" s="119">
        <v>20</v>
      </c>
      <c r="D593" s="109">
        <v>0.15</v>
      </c>
      <c r="E593" s="105" t="s">
        <v>24</v>
      </c>
      <c r="F593" s="105" t="s">
        <v>1201</v>
      </c>
      <c r="G593" s="105"/>
      <c r="H593" s="105" t="s">
        <v>64</v>
      </c>
      <c r="I593" s="105" t="s">
        <v>475</v>
      </c>
    </row>
    <row r="594" spans="1:9" s="108" customFormat="1" ht="15.6">
      <c r="A594" s="106" t="s">
        <v>1446</v>
      </c>
      <c r="B594" s="105" t="s">
        <v>59</v>
      </c>
      <c r="C594" s="119">
        <v>45</v>
      </c>
      <c r="D594" s="109">
        <v>0.15</v>
      </c>
      <c r="E594" s="105" t="s">
        <v>24</v>
      </c>
      <c r="F594" s="105" t="s">
        <v>1201</v>
      </c>
      <c r="G594" s="105"/>
      <c r="H594" s="105" t="s">
        <v>64</v>
      </c>
      <c r="I594" s="105" t="s">
        <v>475</v>
      </c>
    </row>
    <row r="595" spans="1:9" s="108" customFormat="1" ht="15.6">
      <c r="A595" s="106" t="s">
        <v>1447</v>
      </c>
      <c r="B595" s="105" t="s">
        <v>59</v>
      </c>
      <c r="C595" s="119">
        <v>92</v>
      </c>
      <c r="D595" s="109">
        <v>0.15</v>
      </c>
      <c r="E595" s="105" t="s">
        <v>24</v>
      </c>
      <c r="F595" s="105" t="s">
        <v>1201</v>
      </c>
      <c r="G595" s="105"/>
      <c r="H595" s="105" t="s">
        <v>64</v>
      </c>
      <c r="I595" s="105" t="s">
        <v>475</v>
      </c>
    </row>
    <row r="596" spans="1:9" s="108" customFormat="1" ht="15.6">
      <c r="A596" s="106" t="s">
        <v>1448</v>
      </c>
      <c r="B596" s="105" t="s">
        <v>59</v>
      </c>
      <c r="C596" s="119">
        <v>25</v>
      </c>
      <c r="D596" s="109">
        <v>0.15</v>
      </c>
      <c r="E596" s="105" t="s">
        <v>24</v>
      </c>
      <c r="F596" s="105" t="s">
        <v>1201</v>
      </c>
      <c r="G596" s="105"/>
      <c r="H596" s="105" t="s">
        <v>64</v>
      </c>
      <c r="I596" s="105" t="s">
        <v>475</v>
      </c>
    </row>
    <row r="597" spans="1:9" s="108" customFormat="1" ht="15.6">
      <c r="A597" s="106" t="s">
        <v>1449</v>
      </c>
      <c r="B597" s="105" t="s">
        <v>59</v>
      </c>
      <c r="C597" s="119">
        <v>45</v>
      </c>
      <c r="D597" s="109">
        <v>0.15</v>
      </c>
      <c r="E597" s="105" t="s">
        <v>24</v>
      </c>
      <c r="F597" s="105" t="s">
        <v>1201</v>
      </c>
      <c r="G597" s="105"/>
      <c r="H597" s="105" t="s">
        <v>64</v>
      </c>
      <c r="I597" s="105" t="s">
        <v>475</v>
      </c>
    </row>
    <row r="598" spans="1:9" s="108" customFormat="1" ht="15.6">
      <c r="A598" s="106" t="s">
        <v>1450</v>
      </c>
      <c r="B598" s="105" t="s">
        <v>59</v>
      </c>
      <c r="C598" s="119">
        <v>100</v>
      </c>
      <c r="D598" s="109">
        <v>0.15</v>
      </c>
      <c r="E598" s="105" t="s">
        <v>24</v>
      </c>
      <c r="F598" s="105" t="s">
        <v>1201</v>
      </c>
      <c r="G598" s="105"/>
      <c r="H598" s="105" t="s">
        <v>64</v>
      </c>
      <c r="I598" s="105" t="s">
        <v>475</v>
      </c>
    </row>
    <row r="599" spans="1:9" s="108" customFormat="1" ht="15.6">
      <c r="A599" s="106" t="s">
        <v>1451</v>
      </c>
      <c r="B599" s="105" t="s">
        <v>59</v>
      </c>
      <c r="C599" s="119">
        <v>28</v>
      </c>
      <c r="D599" s="109">
        <v>0.15</v>
      </c>
      <c r="E599" s="105" t="s">
        <v>24</v>
      </c>
      <c r="F599" s="105" t="s">
        <v>1201</v>
      </c>
      <c r="G599" s="105"/>
      <c r="H599" s="105" t="s">
        <v>64</v>
      </c>
      <c r="I599" s="105" t="s">
        <v>475</v>
      </c>
    </row>
    <row r="600" spans="1:9" s="108" customFormat="1" ht="15.6">
      <c r="A600" s="106" t="s">
        <v>1452</v>
      </c>
      <c r="B600" s="105" t="s">
        <v>59</v>
      </c>
      <c r="C600" s="119">
        <v>54</v>
      </c>
      <c r="D600" s="109">
        <v>0.15</v>
      </c>
      <c r="E600" s="105" t="s">
        <v>24</v>
      </c>
      <c r="F600" s="105" t="s">
        <v>1201</v>
      </c>
      <c r="G600" s="105"/>
      <c r="H600" s="105" t="s">
        <v>64</v>
      </c>
      <c r="I600" s="105" t="s">
        <v>475</v>
      </c>
    </row>
    <row r="601" spans="1:9" s="108" customFormat="1" ht="15.6">
      <c r="A601" s="106" t="s">
        <v>1453</v>
      </c>
      <c r="B601" s="105" t="s">
        <v>59</v>
      </c>
      <c r="C601" s="119">
        <v>105</v>
      </c>
      <c r="D601" s="109">
        <v>0.15</v>
      </c>
      <c r="E601" s="105" t="s">
        <v>24</v>
      </c>
      <c r="F601" s="105" t="s">
        <v>1201</v>
      </c>
      <c r="G601" s="105"/>
      <c r="H601" s="105" t="s">
        <v>64</v>
      </c>
      <c r="I601" s="105" t="s">
        <v>475</v>
      </c>
    </row>
    <row r="602" spans="1:9" s="108" customFormat="1" ht="15.6">
      <c r="A602" s="106" t="s">
        <v>1454</v>
      </c>
      <c r="B602" s="105" t="s">
        <v>59</v>
      </c>
      <c r="C602" s="119">
        <v>32</v>
      </c>
      <c r="D602" s="109">
        <v>0.15</v>
      </c>
      <c r="E602" s="105" t="s">
        <v>24</v>
      </c>
      <c r="F602" s="105" t="s">
        <v>1201</v>
      </c>
      <c r="G602" s="105"/>
      <c r="H602" s="105" t="s">
        <v>64</v>
      </c>
      <c r="I602" s="105" t="s">
        <v>475</v>
      </c>
    </row>
    <row r="603" spans="1:9" s="108" customFormat="1" ht="15.6">
      <c r="A603" s="106" t="s">
        <v>1455</v>
      </c>
      <c r="B603" s="105" t="s">
        <v>59</v>
      </c>
      <c r="C603" s="119">
        <v>57</v>
      </c>
      <c r="D603" s="109">
        <v>0.15</v>
      </c>
      <c r="E603" s="105" t="s">
        <v>24</v>
      </c>
      <c r="F603" s="105" t="s">
        <v>1201</v>
      </c>
      <c r="G603" s="105"/>
      <c r="H603" s="105" t="s">
        <v>64</v>
      </c>
      <c r="I603" s="105" t="s">
        <v>475</v>
      </c>
    </row>
    <row r="604" spans="1:9" s="108" customFormat="1" ht="15.6">
      <c r="A604" s="106" t="s">
        <v>1456</v>
      </c>
      <c r="B604" s="105" t="s">
        <v>59</v>
      </c>
      <c r="C604" s="119">
        <v>115</v>
      </c>
      <c r="D604" s="109">
        <v>0.15</v>
      </c>
      <c r="E604" s="105" t="s">
        <v>24</v>
      </c>
      <c r="F604" s="105" t="s">
        <v>1201</v>
      </c>
      <c r="G604" s="105"/>
      <c r="H604" s="105" t="s">
        <v>64</v>
      </c>
      <c r="I604" s="105" t="s">
        <v>475</v>
      </c>
    </row>
    <row r="605" spans="1:9" s="108" customFormat="1" ht="15.6">
      <c r="A605" s="106" t="s">
        <v>1457</v>
      </c>
      <c r="B605" s="105" t="s">
        <v>59</v>
      </c>
      <c r="C605" s="119">
        <v>37</v>
      </c>
      <c r="D605" s="109">
        <v>0.15</v>
      </c>
      <c r="E605" s="105" t="s">
        <v>24</v>
      </c>
      <c r="F605" s="105" t="s">
        <v>1201</v>
      </c>
      <c r="G605" s="105"/>
      <c r="H605" s="105" t="s">
        <v>64</v>
      </c>
      <c r="I605" s="105" t="s">
        <v>475</v>
      </c>
    </row>
    <row r="606" spans="1:9" s="108" customFormat="1" ht="15.6">
      <c r="A606" s="106" t="s">
        <v>1458</v>
      </c>
      <c r="B606" s="105" t="s">
        <v>59</v>
      </c>
      <c r="C606" s="119">
        <v>60</v>
      </c>
      <c r="D606" s="109">
        <v>0.15</v>
      </c>
      <c r="E606" s="105" t="s">
        <v>24</v>
      </c>
      <c r="F606" s="105" t="s">
        <v>1201</v>
      </c>
      <c r="G606" s="105"/>
      <c r="H606" s="105" t="s">
        <v>64</v>
      </c>
      <c r="I606" s="105" t="s">
        <v>475</v>
      </c>
    </row>
    <row r="607" spans="1:9" s="108" customFormat="1" ht="15.6">
      <c r="A607" s="106" t="s">
        <v>1459</v>
      </c>
      <c r="B607" s="105" t="s">
        <v>59</v>
      </c>
      <c r="C607" s="119">
        <v>125</v>
      </c>
      <c r="D607" s="109">
        <v>0.15</v>
      </c>
      <c r="E607" s="105" t="s">
        <v>24</v>
      </c>
      <c r="F607" s="105" t="s">
        <v>1201</v>
      </c>
      <c r="G607" s="105"/>
      <c r="H607" s="105" t="s">
        <v>64</v>
      </c>
      <c r="I607" s="105" t="s">
        <v>475</v>
      </c>
    </row>
    <row r="608" spans="1:9" s="108" customFormat="1" ht="15.6">
      <c r="A608" s="106" t="s">
        <v>1460</v>
      </c>
      <c r="B608" s="105" t="s">
        <v>59</v>
      </c>
      <c r="C608" s="119">
        <v>40</v>
      </c>
      <c r="D608" s="109">
        <v>0.15</v>
      </c>
      <c r="E608" s="105" t="s">
        <v>24</v>
      </c>
      <c r="F608" s="105" t="s">
        <v>1201</v>
      </c>
      <c r="G608" s="105"/>
      <c r="H608" s="105" t="s">
        <v>64</v>
      </c>
      <c r="I608" s="105" t="s">
        <v>475</v>
      </c>
    </row>
    <row r="609" spans="1:9" s="108" customFormat="1" ht="15.6">
      <c r="A609" s="106" t="s">
        <v>1461</v>
      </c>
      <c r="B609" s="105" t="s">
        <v>59</v>
      </c>
      <c r="C609" s="119">
        <v>65</v>
      </c>
      <c r="D609" s="109">
        <v>0.15</v>
      </c>
      <c r="E609" s="105" t="s">
        <v>24</v>
      </c>
      <c r="F609" s="105" t="s">
        <v>1201</v>
      </c>
      <c r="G609" s="105"/>
      <c r="H609" s="105" t="s">
        <v>64</v>
      </c>
      <c r="I609" s="105" t="s">
        <v>475</v>
      </c>
    </row>
    <row r="610" spans="1:9" ht="15.6">
      <c r="A610" s="17" t="s">
        <v>91</v>
      </c>
      <c r="B610" s="17" t="s">
        <v>44</v>
      </c>
      <c r="C610" s="65">
        <v>167</v>
      </c>
      <c r="D610" s="59">
        <v>0.3</v>
      </c>
      <c r="E610" s="17" t="s">
        <v>24</v>
      </c>
      <c r="F610" s="17" t="s">
        <v>495</v>
      </c>
      <c r="G610" s="17"/>
      <c r="H610" s="17" t="s">
        <v>64</v>
      </c>
      <c r="I610" s="17" t="s">
        <v>475</v>
      </c>
    </row>
    <row r="611" spans="1:9" ht="15.6">
      <c r="A611" s="17" t="s">
        <v>92</v>
      </c>
      <c r="B611" s="17" t="s">
        <v>44</v>
      </c>
      <c r="C611" s="65">
        <v>60</v>
      </c>
      <c r="D611" s="59">
        <v>0.3</v>
      </c>
      <c r="E611" s="17" t="s">
        <v>24</v>
      </c>
      <c r="F611" s="17" t="s">
        <v>495</v>
      </c>
      <c r="G611" s="17"/>
      <c r="H611" s="17" t="s">
        <v>64</v>
      </c>
      <c r="I611" s="17" t="s">
        <v>475</v>
      </c>
    </row>
    <row r="612" spans="1:9">
      <c r="A612" s="17"/>
      <c r="B612" s="17"/>
      <c r="C612" s="17"/>
      <c r="D612" s="57"/>
      <c r="E612" s="17" t="s">
        <v>24</v>
      </c>
      <c r="F612" s="17"/>
      <c r="G612" s="17"/>
      <c r="H612" s="17"/>
      <c r="I612" s="17"/>
    </row>
    <row r="613" spans="1:9">
      <c r="A613" s="17" t="s">
        <v>83</v>
      </c>
      <c r="B613" s="17"/>
      <c r="C613" s="17"/>
      <c r="D613" s="57"/>
      <c r="E613" s="17" t="s">
        <v>24</v>
      </c>
      <c r="F613" s="17"/>
      <c r="G613" s="17"/>
      <c r="H613" s="17"/>
      <c r="I613" s="17"/>
    </row>
    <row r="614" spans="1:9" s="108" customFormat="1" ht="15.6">
      <c r="A614" s="105" t="s">
        <v>1462</v>
      </c>
      <c r="B614" s="105" t="s">
        <v>74</v>
      </c>
      <c r="C614" s="106">
        <v>0.21299999999999999</v>
      </c>
      <c r="D614" s="109"/>
      <c r="E614" s="105" t="s">
        <v>24</v>
      </c>
      <c r="F614" s="105" t="s">
        <v>1134</v>
      </c>
      <c r="G614" s="105" t="s">
        <v>1463</v>
      </c>
      <c r="H614" s="105" t="s">
        <v>64</v>
      </c>
      <c r="I614" s="105" t="s">
        <v>509</v>
      </c>
    </row>
    <row r="615" spans="1:9" ht="15.6">
      <c r="A615" s="17" t="s">
        <v>84</v>
      </c>
      <c r="B615" s="17" t="s">
        <v>74</v>
      </c>
      <c r="C615" s="58">
        <v>0.23805000000000001</v>
      </c>
      <c r="D615" s="59">
        <v>0.3</v>
      </c>
      <c r="E615" s="17" t="s">
        <v>24</v>
      </c>
      <c r="F615" s="17" t="s">
        <v>140</v>
      </c>
      <c r="G615" s="17"/>
      <c r="H615" s="17" t="s">
        <v>64</v>
      </c>
      <c r="I615" s="17" t="s">
        <v>509</v>
      </c>
    </row>
    <row r="616" spans="1:9" s="108" customFormat="1">
      <c r="A616" s="105" t="s">
        <v>1464</v>
      </c>
      <c r="B616" s="105" t="s">
        <v>74</v>
      </c>
      <c r="C616" s="106">
        <v>0.29899999999999999</v>
      </c>
      <c r="D616" s="107"/>
      <c r="E616" s="105" t="s">
        <v>24</v>
      </c>
      <c r="F616" s="105" t="s">
        <v>1201</v>
      </c>
      <c r="G616" s="105"/>
      <c r="H616" s="105" t="s">
        <v>64</v>
      </c>
      <c r="I616" s="105" t="s">
        <v>509</v>
      </c>
    </row>
    <row r="617" spans="1:9" s="108" customFormat="1">
      <c r="A617" s="105" t="s">
        <v>510</v>
      </c>
      <c r="B617" s="105" t="s">
        <v>314</v>
      </c>
      <c r="C617" s="106">
        <v>15.3</v>
      </c>
      <c r="D617" s="107">
        <v>0.1</v>
      </c>
      <c r="E617" s="105" t="s">
        <v>24</v>
      </c>
      <c r="F617" s="105" t="s">
        <v>1201</v>
      </c>
      <c r="G617" s="105"/>
      <c r="H617" s="105" t="s">
        <v>64</v>
      </c>
      <c r="I617" s="105" t="s">
        <v>509</v>
      </c>
    </row>
    <row r="618" spans="1:9" s="108" customFormat="1" ht="15.6">
      <c r="A618" s="105" t="s">
        <v>1465</v>
      </c>
      <c r="B618" s="105" t="s">
        <v>59</v>
      </c>
      <c r="C618" s="106">
        <v>20.6</v>
      </c>
      <c r="D618" s="109"/>
      <c r="E618" s="105" t="s">
        <v>24</v>
      </c>
      <c r="F618" s="105" t="s">
        <v>144</v>
      </c>
      <c r="G618" s="105" t="s">
        <v>1466</v>
      </c>
      <c r="H618" s="105" t="s">
        <v>64</v>
      </c>
      <c r="I618" s="105" t="s">
        <v>509</v>
      </c>
    </row>
    <row r="619" spans="1:9" s="108" customFormat="1" ht="15.6">
      <c r="A619" s="105" t="s">
        <v>1467</v>
      </c>
      <c r="B619" s="105" t="s">
        <v>59</v>
      </c>
      <c r="C619" s="106">
        <v>29.4</v>
      </c>
      <c r="D619" s="109"/>
      <c r="E619" s="105" t="s">
        <v>24</v>
      </c>
      <c r="F619" s="105" t="s">
        <v>144</v>
      </c>
      <c r="G619" s="105" t="s">
        <v>1468</v>
      </c>
      <c r="H619" s="105" t="s">
        <v>64</v>
      </c>
      <c r="I619" s="105" t="s">
        <v>509</v>
      </c>
    </row>
    <row r="620" spans="1:9" s="108" customFormat="1" ht="15.6">
      <c r="A620" s="105" t="s">
        <v>1469</v>
      </c>
      <c r="B620" s="105" t="s">
        <v>59</v>
      </c>
      <c r="C620" s="106">
        <v>36.799999999999997</v>
      </c>
      <c r="D620" s="109"/>
      <c r="E620" s="105" t="s">
        <v>24</v>
      </c>
      <c r="F620" s="105" t="s">
        <v>144</v>
      </c>
      <c r="G620" s="105" t="s">
        <v>1470</v>
      </c>
      <c r="H620" s="105" t="s">
        <v>64</v>
      </c>
      <c r="I620" s="105" t="s">
        <v>509</v>
      </c>
    </row>
    <row r="621" spans="1:9" ht="15.6">
      <c r="A621" s="17" t="s">
        <v>511</v>
      </c>
      <c r="B621" s="17" t="s">
        <v>74</v>
      </c>
      <c r="C621" s="58">
        <v>0.22620000000000001</v>
      </c>
      <c r="D621" s="59">
        <v>0.3</v>
      </c>
      <c r="E621" s="17" t="s">
        <v>24</v>
      </c>
      <c r="F621" s="17" t="s">
        <v>140</v>
      </c>
      <c r="G621" s="17"/>
      <c r="H621" s="17" t="s">
        <v>64</v>
      </c>
      <c r="I621" s="17" t="s">
        <v>509</v>
      </c>
    </row>
    <row r="622" spans="1:9" ht="15.6">
      <c r="A622" s="17" t="s">
        <v>512</v>
      </c>
      <c r="B622" s="17" t="s">
        <v>74</v>
      </c>
      <c r="C622" s="58">
        <v>2.3302</v>
      </c>
      <c r="D622" s="59">
        <v>0.3</v>
      </c>
      <c r="E622" s="17" t="s">
        <v>24</v>
      </c>
      <c r="F622" s="17" t="s">
        <v>140</v>
      </c>
      <c r="G622" s="17"/>
      <c r="H622" s="17" t="s">
        <v>64</v>
      </c>
      <c r="I622" s="17" t="s">
        <v>509</v>
      </c>
    </row>
    <row r="623" spans="1:9" s="108" customFormat="1" ht="15.6">
      <c r="A623" s="105" t="s">
        <v>313</v>
      </c>
      <c r="B623" s="105" t="s">
        <v>314</v>
      </c>
      <c r="C623" s="106">
        <v>5.79</v>
      </c>
      <c r="D623" s="109">
        <v>0.1</v>
      </c>
      <c r="E623" s="105" t="s">
        <v>24</v>
      </c>
      <c r="F623" s="105" t="s">
        <v>1099</v>
      </c>
      <c r="G623" s="105"/>
      <c r="H623" s="105" t="s">
        <v>64</v>
      </c>
      <c r="I623" s="105" t="s">
        <v>509</v>
      </c>
    </row>
    <row r="624" spans="1:9" ht="15.6">
      <c r="A624" s="17" t="s">
        <v>513</v>
      </c>
      <c r="B624" s="17" t="s">
        <v>74</v>
      </c>
      <c r="C624" s="58">
        <v>13.2</v>
      </c>
      <c r="D624" s="59">
        <v>0.3</v>
      </c>
      <c r="E624" s="17" t="s">
        <v>24</v>
      </c>
      <c r="F624" s="17" t="s">
        <v>140</v>
      </c>
      <c r="G624" s="17" t="s">
        <v>514</v>
      </c>
      <c r="H624" s="17" t="s">
        <v>64</v>
      </c>
      <c r="I624" s="17" t="s">
        <v>509</v>
      </c>
    </row>
    <row r="625" spans="1:9" s="108" customFormat="1" ht="15.6">
      <c r="A625" s="105" t="s">
        <v>1471</v>
      </c>
      <c r="B625" s="105" t="s">
        <v>74</v>
      </c>
      <c r="C625" s="106">
        <v>41.456400000000002</v>
      </c>
      <c r="D625" s="109"/>
      <c r="E625" s="105" t="s">
        <v>24</v>
      </c>
      <c r="F625" s="105" t="s">
        <v>1227</v>
      </c>
      <c r="G625" s="105"/>
      <c r="H625" s="105" t="s">
        <v>64</v>
      </c>
      <c r="I625" s="105" t="s">
        <v>509</v>
      </c>
    </row>
    <row r="626" spans="1:9" s="108" customFormat="1" ht="15.6">
      <c r="A626" s="105" t="s">
        <v>1472</v>
      </c>
      <c r="B626" s="105" t="s">
        <v>74</v>
      </c>
      <c r="C626" s="106">
        <v>18.715499999999999</v>
      </c>
      <c r="D626" s="109"/>
      <c r="E626" s="105" t="s">
        <v>24</v>
      </c>
      <c r="F626" s="105" t="s">
        <v>1227</v>
      </c>
      <c r="G626" s="105"/>
      <c r="H626" s="105" t="s">
        <v>64</v>
      </c>
      <c r="I626" s="105" t="s">
        <v>509</v>
      </c>
    </row>
    <row r="627" spans="1:9" s="108" customFormat="1" ht="15.6">
      <c r="A627" s="105" t="s">
        <v>1473</v>
      </c>
      <c r="B627" s="105" t="s">
        <v>44</v>
      </c>
      <c r="C627" s="106">
        <v>2280</v>
      </c>
      <c r="D627" s="109"/>
      <c r="E627" s="105" t="s">
        <v>24</v>
      </c>
      <c r="F627" s="105" t="s">
        <v>144</v>
      </c>
      <c r="G627" s="105" t="s">
        <v>1474</v>
      </c>
      <c r="H627" s="105" t="s">
        <v>64</v>
      </c>
      <c r="I627" s="105" t="s">
        <v>509</v>
      </c>
    </row>
    <row r="628" spans="1:9" s="108" customFormat="1">
      <c r="A628" s="105" t="s">
        <v>1475</v>
      </c>
      <c r="B628" s="105" t="s">
        <v>59</v>
      </c>
      <c r="C628" s="106">
        <f>3*0.0001*1000</f>
        <v>0.30000000000000004</v>
      </c>
      <c r="D628" s="107"/>
      <c r="E628" s="105" t="s">
        <v>24</v>
      </c>
      <c r="F628" s="105" t="s">
        <v>1105</v>
      </c>
      <c r="G628" s="105"/>
      <c r="H628" s="105" t="s">
        <v>64</v>
      </c>
      <c r="I628" s="105" t="s">
        <v>509</v>
      </c>
    </row>
    <row r="629" spans="1:9" s="108" customFormat="1">
      <c r="A629" s="105" t="s">
        <v>1476</v>
      </c>
      <c r="B629" s="105" t="s">
        <v>59</v>
      </c>
      <c r="C629" s="106">
        <f>0.00015*3*1000</f>
        <v>0.45</v>
      </c>
      <c r="D629" s="107"/>
      <c r="E629" s="105" t="s">
        <v>24</v>
      </c>
      <c r="F629" s="105" t="s">
        <v>1105</v>
      </c>
      <c r="G629" s="105"/>
      <c r="H629" s="105" t="s">
        <v>64</v>
      </c>
      <c r="I629" s="105" t="s">
        <v>509</v>
      </c>
    </row>
    <row r="630" spans="1:9" s="108" customFormat="1">
      <c r="A630" s="105" t="s">
        <v>117</v>
      </c>
      <c r="B630" s="105" t="s">
        <v>59</v>
      </c>
      <c r="C630" s="106">
        <f>0.00015*3*1000</f>
        <v>0.45</v>
      </c>
      <c r="D630" s="107"/>
      <c r="E630" s="105" t="s">
        <v>24</v>
      </c>
      <c r="F630" s="105" t="s">
        <v>1105</v>
      </c>
      <c r="G630" s="105"/>
      <c r="H630" s="105" t="s">
        <v>64</v>
      </c>
      <c r="I630" s="105" t="s">
        <v>509</v>
      </c>
    </row>
    <row r="631" spans="1:9" ht="15.6">
      <c r="A631" s="17" t="s">
        <v>515</v>
      </c>
      <c r="B631" s="17" t="s">
        <v>74</v>
      </c>
      <c r="C631" s="58">
        <v>1.1261000000000001</v>
      </c>
      <c r="D631" s="59">
        <v>0.3</v>
      </c>
      <c r="E631" s="17" t="s">
        <v>24</v>
      </c>
      <c r="F631" s="17" t="s">
        <v>140</v>
      </c>
      <c r="G631" s="17"/>
      <c r="H631" s="17" t="s">
        <v>64</v>
      </c>
      <c r="I631" s="17" t="s">
        <v>509</v>
      </c>
    </row>
    <row r="632" spans="1:9">
      <c r="A632" s="17" t="s">
        <v>516</v>
      </c>
      <c r="B632" s="17" t="s">
        <v>55</v>
      </c>
      <c r="C632" s="58">
        <v>11</v>
      </c>
      <c r="D632" s="57">
        <v>0.2</v>
      </c>
      <c r="E632" s="17" t="s">
        <v>24</v>
      </c>
      <c r="F632" s="17" t="s">
        <v>135</v>
      </c>
      <c r="G632" s="17"/>
      <c r="H632" s="17" t="s">
        <v>64</v>
      </c>
      <c r="I632" s="17" t="s">
        <v>509</v>
      </c>
    </row>
    <row r="633" spans="1:9">
      <c r="A633" s="17" t="s">
        <v>517</v>
      </c>
      <c r="B633" s="17" t="s">
        <v>55</v>
      </c>
      <c r="C633" s="58">
        <v>11</v>
      </c>
      <c r="D633" s="57">
        <v>0.3</v>
      </c>
      <c r="E633" s="17" t="s">
        <v>24</v>
      </c>
      <c r="F633" s="17" t="s">
        <v>135</v>
      </c>
      <c r="G633" s="17"/>
      <c r="H633" s="17" t="s">
        <v>64</v>
      </c>
      <c r="I633" s="17" t="s">
        <v>509</v>
      </c>
    </row>
    <row r="634" spans="1:9" s="108" customFormat="1">
      <c r="A634" s="105" t="s">
        <v>518</v>
      </c>
      <c r="B634" s="105" t="s">
        <v>59</v>
      </c>
      <c r="C634" s="106">
        <v>44.302999999999997</v>
      </c>
      <c r="D634" s="107">
        <v>0.1</v>
      </c>
      <c r="E634" s="105" t="s">
        <v>24</v>
      </c>
      <c r="F634" s="105" t="s">
        <v>1201</v>
      </c>
      <c r="G634" s="105"/>
      <c r="H634" s="105" t="s">
        <v>64</v>
      </c>
      <c r="I634" s="105" t="s">
        <v>509</v>
      </c>
    </row>
    <row r="635" spans="1:9" s="108" customFormat="1">
      <c r="A635" s="105" t="s">
        <v>365</v>
      </c>
      <c r="B635" s="105" t="s">
        <v>59</v>
      </c>
      <c r="C635" s="106">
        <v>3.95</v>
      </c>
      <c r="D635" s="107">
        <v>0.1</v>
      </c>
      <c r="E635" s="105" t="s">
        <v>24</v>
      </c>
      <c r="F635" s="105" t="s">
        <v>1201</v>
      </c>
      <c r="G635" s="105"/>
      <c r="H635" s="105" t="s">
        <v>64</v>
      </c>
      <c r="I635" s="105" t="s">
        <v>509</v>
      </c>
    </row>
    <row r="636" spans="1:9" ht="15.6">
      <c r="A636" s="17" t="s">
        <v>519</v>
      </c>
      <c r="B636" s="17" t="s">
        <v>74</v>
      </c>
      <c r="C636" s="58">
        <v>0.99492000000000003</v>
      </c>
      <c r="D636" s="59">
        <v>0.3</v>
      </c>
      <c r="E636" s="17" t="s">
        <v>24</v>
      </c>
      <c r="F636" s="17" t="s">
        <v>140</v>
      </c>
      <c r="G636" s="17" t="s">
        <v>520</v>
      </c>
      <c r="H636" s="17" t="s">
        <v>64</v>
      </c>
      <c r="I636" s="17" t="s">
        <v>509</v>
      </c>
    </row>
    <row r="637" spans="1:9" s="108" customFormat="1">
      <c r="A637" s="105" t="s">
        <v>1477</v>
      </c>
      <c r="B637" s="105" t="s">
        <v>74</v>
      </c>
      <c r="C637" s="106">
        <v>3.5760399999999999</v>
      </c>
      <c r="D637" s="107"/>
      <c r="E637" s="105" t="s">
        <v>24</v>
      </c>
      <c r="F637" s="105" t="s">
        <v>1227</v>
      </c>
      <c r="G637" s="105"/>
      <c r="H637" s="105" t="s">
        <v>64</v>
      </c>
      <c r="I637" s="105" t="s">
        <v>509</v>
      </c>
    </row>
    <row r="638" spans="1:9" s="108" customFormat="1">
      <c r="A638" s="105" t="s">
        <v>1478</v>
      </c>
      <c r="B638" s="105" t="s">
        <v>74</v>
      </c>
      <c r="C638" s="106">
        <v>3.1297100000000002</v>
      </c>
      <c r="D638" s="107"/>
      <c r="E638" s="105" t="s">
        <v>24</v>
      </c>
      <c r="F638" s="105" t="s">
        <v>1227</v>
      </c>
      <c r="G638" s="105"/>
      <c r="H638" s="105" t="s">
        <v>64</v>
      </c>
      <c r="I638" s="105" t="s">
        <v>509</v>
      </c>
    </row>
    <row r="639" spans="1:9" s="108" customFormat="1">
      <c r="A639" s="105" t="s">
        <v>1479</v>
      </c>
      <c r="B639" s="105" t="s">
        <v>74</v>
      </c>
      <c r="C639" s="106">
        <v>9.4587199999999996</v>
      </c>
      <c r="D639" s="107"/>
      <c r="E639" s="105" t="s">
        <v>24</v>
      </c>
      <c r="F639" s="105" t="s">
        <v>1227</v>
      </c>
      <c r="G639" s="105"/>
      <c r="H639" s="105" t="s">
        <v>64</v>
      </c>
      <c r="I639" s="105" t="s">
        <v>509</v>
      </c>
    </row>
    <row r="640" spans="1:9" s="108" customFormat="1">
      <c r="A640" s="105" t="s">
        <v>1480</v>
      </c>
      <c r="B640" s="105" t="s">
        <v>74</v>
      </c>
      <c r="C640" s="106">
        <v>1.71061</v>
      </c>
      <c r="D640" s="107"/>
      <c r="E640" s="105" t="s">
        <v>24</v>
      </c>
      <c r="F640" s="105" t="s">
        <v>1227</v>
      </c>
      <c r="G640" s="105"/>
      <c r="H640" s="105" t="s">
        <v>64</v>
      </c>
      <c r="I640" s="105" t="s">
        <v>509</v>
      </c>
    </row>
    <row r="641" spans="1:9" ht="15.6">
      <c r="A641" s="17" t="s">
        <v>521</v>
      </c>
      <c r="B641" s="17" t="s">
        <v>55</v>
      </c>
      <c r="C641" s="58">
        <v>520</v>
      </c>
      <c r="D641" s="59">
        <v>0.3</v>
      </c>
      <c r="E641" s="17" t="s">
        <v>24</v>
      </c>
      <c r="F641" s="17" t="s">
        <v>158</v>
      </c>
      <c r="G641" s="17"/>
      <c r="H641" s="17" t="s">
        <v>64</v>
      </c>
      <c r="I641" s="17" t="s">
        <v>509</v>
      </c>
    </row>
    <row r="642" spans="1:9">
      <c r="A642" s="17"/>
      <c r="B642" s="17"/>
      <c r="C642" s="17"/>
      <c r="D642" s="57"/>
      <c r="E642" s="17"/>
      <c r="F642" s="17"/>
      <c r="G642" s="17"/>
      <c r="H642" s="17"/>
      <c r="I642" s="17"/>
    </row>
    <row r="643" spans="1:9">
      <c r="A643" s="17"/>
      <c r="B643" s="17"/>
      <c r="C643" s="17"/>
      <c r="D643" s="57"/>
      <c r="E643" s="17"/>
      <c r="F643" s="17"/>
      <c r="G643" s="17"/>
      <c r="H643" s="17"/>
      <c r="I643" s="17"/>
    </row>
    <row r="644" spans="1:9">
      <c r="A644" s="17"/>
      <c r="B644" s="17"/>
      <c r="C644" s="17"/>
      <c r="D644" s="57"/>
      <c r="E644" s="17"/>
      <c r="F644" s="17"/>
      <c r="G644" s="17"/>
      <c r="H644" s="17"/>
      <c r="I644" s="17"/>
    </row>
    <row r="645" spans="1:9">
      <c r="A645" s="17"/>
      <c r="B645" s="17"/>
      <c r="C645" s="17"/>
      <c r="D645" s="57"/>
      <c r="E645" s="17"/>
      <c r="F645" s="17"/>
      <c r="G645" s="17"/>
      <c r="H645" s="17"/>
      <c r="I645" s="17"/>
    </row>
    <row r="646" spans="1:9" ht="24.9" customHeight="1">
      <c r="A646" s="51" t="s">
        <v>130</v>
      </c>
      <c r="B646" s="55"/>
      <c r="C646" s="55"/>
      <c r="D646" s="56"/>
      <c r="E646" s="55"/>
      <c r="F646" s="55"/>
      <c r="G646" s="55"/>
      <c r="H646" s="55"/>
      <c r="I646" s="55"/>
    </row>
    <row r="647" spans="1:9">
      <c r="A647" s="67" t="s">
        <v>522</v>
      </c>
      <c r="B647" s="17"/>
      <c r="C647" s="17"/>
      <c r="D647" s="57"/>
      <c r="E647" s="17"/>
      <c r="F647" s="17"/>
      <c r="G647" s="17"/>
      <c r="H647" s="17"/>
      <c r="I647" s="17"/>
    </row>
    <row r="648" spans="1:9" s="108" customFormat="1" ht="15.6">
      <c r="A648" s="105" t="s">
        <v>1481</v>
      </c>
      <c r="B648" s="105" t="s">
        <v>523</v>
      </c>
      <c r="C648" s="120">
        <v>105.18429</v>
      </c>
      <c r="D648" s="109"/>
      <c r="E648" s="105" t="s">
        <v>23</v>
      </c>
      <c r="F648" s="105" t="s">
        <v>1105</v>
      </c>
      <c r="G648" s="105"/>
      <c r="H648" s="105" t="s">
        <v>130</v>
      </c>
      <c r="I648" s="105" t="s">
        <v>526</v>
      </c>
    </row>
    <row r="649" spans="1:9" s="108" customFormat="1" ht="15.6">
      <c r="A649" s="105" t="s">
        <v>1482</v>
      </c>
      <c r="B649" s="105" t="s">
        <v>523</v>
      </c>
      <c r="C649" s="120">
        <v>56.60286</v>
      </c>
      <c r="D649" s="109"/>
      <c r="E649" s="105" t="s">
        <v>23</v>
      </c>
      <c r="F649" s="105" t="s">
        <v>1105</v>
      </c>
      <c r="G649" s="105"/>
      <c r="H649" s="105" t="s">
        <v>130</v>
      </c>
      <c r="I649" s="105" t="s">
        <v>526</v>
      </c>
    </row>
    <row r="650" spans="1:9">
      <c r="A650" s="17" t="s">
        <v>527</v>
      </c>
      <c r="B650" s="17" t="s">
        <v>528</v>
      </c>
      <c r="C650" s="68">
        <v>825</v>
      </c>
      <c r="D650" s="57">
        <v>0.5</v>
      </c>
      <c r="E650" s="17" t="s">
        <v>23</v>
      </c>
      <c r="F650" s="17" t="s">
        <v>135</v>
      </c>
      <c r="G650" s="17"/>
      <c r="H650" s="17" t="s">
        <v>130</v>
      </c>
      <c r="I650" s="17" t="s">
        <v>526</v>
      </c>
    </row>
    <row r="651" spans="1:9">
      <c r="A651" s="17" t="s">
        <v>529</v>
      </c>
      <c r="B651" s="17" t="s">
        <v>528</v>
      </c>
      <c r="C651" s="68">
        <v>235.7461465333333</v>
      </c>
      <c r="D651" s="57">
        <v>0.5</v>
      </c>
      <c r="E651" s="17" t="s">
        <v>23</v>
      </c>
      <c r="F651" s="17" t="s">
        <v>135</v>
      </c>
      <c r="G651" s="17"/>
      <c r="H651" s="17" t="s">
        <v>130</v>
      </c>
      <c r="I651" s="17" t="s">
        <v>526</v>
      </c>
    </row>
    <row r="652" spans="1:9" s="108" customFormat="1" ht="15.6">
      <c r="A652" s="105" t="s">
        <v>1483</v>
      </c>
      <c r="B652" s="105" t="s">
        <v>523</v>
      </c>
      <c r="C652" s="120">
        <v>77.432860000000005</v>
      </c>
      <c r="D652" s="109"/>
      <c r="E652" s="105" t="s">
        <v>23</v>
      </c>
      <c r="F652" s="105" t="s">
        <v>1105</v>
      </c>
      <c r="G652" s="105"/>
      <c r="H652" s="105" t="s">
        <v>130</v>
      </c>
      <c r="I652" s="105" t="s">
        <v>526</v>
      </c>
    </row>
    <row r="653" spans="1:9" s="108" customFormat="1" ht="15.6">
      <c r="A653" s="105" t="s">
        <v>1484</v>
      </c>
      <c r="B653" s="105" t="s">
        <v>523</v>
      </c>
      <c r="C653" s="120">
        <v>79.288570000000007</v>
      </c>
      <c r="D653" s="109"/>
      <c r="E653" s="105" t="s">
        <v>23</v>
      </c>
      <c r="F653" s="105" t="s">
        <v>1105</v>
      </c>
      <c r="G653" s="105"/>
      <c r="H653" s="105" t="s">
        <v>130</v>
      </c>
      <c r="I653" s="105" t="s">
        <v>526</v>
      </c>
    </row>
    <row r="654" spans="1:9" s="108" customFormat="1" ht="15.6">
      <c r="A654" s="105" t="s">
        <v>1485</v>
      </c>
      <c r="B654" s="105" t="s">
        <v>523</v>
      </c>
      <c r="C654" s="120">
        <v>104.92143</v>
      </c>
      <c r="D654" s="109"/>
      <c r="E654" s="105" t="s">
        <v>23</v>
      </c>
      <c r="F654" s="105" t="s">
        <v>1105</v>
      </c>
      <c r="G654" s="105"/>
      <c r="H654" s="105" t="s">
        <v>130</v>
      </c>
      <c r="I654" s="105" t="s">
        <v>526</v>
      </c>
    </row>
    <row r="655" spans="1:9" s="108" customFormat="1" ht="15.6">
      <c r="A655" s="105" t="s">
        <v>1486</v>
      </c>
      <c r="B655" s="105" t="s">
        <v>523</v>
      </c>
      <c r="C655" s="120">
        <v>131.67714000000001</v>
      </c>
      <c r="D655" s="109"/>
      <c r="E655" s="105" t="s">
        <v>23</v>
      </c>
      <c r="F655" s="105" t="s">
        <v>1105</v>
      </c>
      <c r="G655" s="105"/>
      <c r="H655" s="105" t="s">
        <v>130</v>
      </c>
      <c r="I655" s="105" t="s">
        <v>526</v>
      </c>
    </row>
    <row r="656" spans="1:9" s="108" customFormat="1" ht="15.6">
      <c r="A656" s="105" t="s">
        <v>1487</v>
      </c>
      <c r="B656" s="105" t="s">
        <v>523</v>
      </c>
      <c r="C656" s="120">
        <v>131.9</v>
      </c>
      <c r="D656" s="109"/>
      <c r="E656" s="105" t="s">
        <v>23</v>
      </c>
      <c r="F656" s="105" t="s">
        <v>1105</v>
      </c>
      <c r="G656" s="105"/>
      <c r="H656" s="105" t="s">
        <v>130</v>
      </c>
      <c r="I656" s="105" t="s">
        <v>526</v>
      </c>
    </row>
    <row r="657" spans="1:9" s="108" customFormat="1" ht="15.6">
      <c r="A657" s="105" t="s">
        <v>1488</v>
      </c>
      <c r="B657" s="105" t="s">
        <v>523</v>
      </c>
      <c r="C657" s="120">
        <v>172.11429000000001</v>
      </c>
      <c r="D657" s="109"/>
      <c r="E657" s="105" t="s">
        <v>23</v>
      </c>
      <c r="F657" s="105" t="s">
        <v>1105</v>
      </c>
      <c r="G657" s="105"/>
      <c r="H657" s="105" t="s">
        <v>130</v>
      </c>
      <c r="I657" s="105" t="s">
        <v>526</v>
      </c>
    </row>
    <row r="658" spans="1:9" s="108" customFormat="1" ht="15.6">
      <c r="A658" s="105" t="s">
        <v>1489</v>
      </c>
      <c r="B658" s="105" t="s">
        <v>523</v>
      </c>
      <c r="C658" s="120">
        <v>65.7</v>
      </c>
      <c r="D658" s="109"/>
      <c r="E658" s="105" t="s">
        <v>23</v>
      </c>
      <c r="F658" s="105" t="s">
        <v>1105</v>
      </c>
      <c r="G658" s="105"/>
      <c r="H658" s="105" t="s">
        <v>130</v>
      </c>
      <c r="I658" s="105" t="s">
        <v>526</v>
      </c>
    </row>
    <row r="659" spans="1:9" s="108" customFormat="1" ht="15.6">
      <c r="A659" s="105" t="s">
        <v>1490</v>
      </c>
      <c r="B659" s="105" t="s">
        <v>523</v>
      </c>
      <c r="C659" s="120">
        <v>86.8</v>
      </c>
      <c r="D659" s="109"/>
      <c r="E659" s="105" t="s">
        <v>23</v>
      </c>
      <c r="F659" s="105" t="s">
        <v>1105</v>
      </c>
      <c r="G659" s="105"/>
      <c r="H659" s="105" t="s">
        <v>130</v>
      </c>
      <c r="I659" s="105" t="s">
        <v>526</v>
      </c>
    </row>
    <row r="660" spans="1:9" s="108" customFormat="1" ht="15.6">
      <c r="A660" s="105" t="s">
        <v>1491</v>
      </c>
      <c r="B660" s="105" t="s">
        <v>523</v>
      </c>
      <c r="C660" s="120">
        <v>108.84286</v>
      </c>
      <c r="D660" s="109"/>
      <c r="E660" s="105" t="s">
        <v>23</v>
      </c>
      <c r="F660" s="105" t="s">
        <v>1105</v>
      </c>
      <c r="G660" s="105"/>
      <c r="H660" s="105" t="s">
        <v>130</v>
      </c>
      <c r="I660" s="105" t="s">
        <v>526</v>
      </c>
    </row>
    <row r="661" spans="1:9" ht="15.6">
      <c r="A661" s="17" t="s">
        <v>530</v>
      </c>
      <c r="B661" s="17" t="s">
        <v>528</v>
      </c>
      <c r="C661" s="68">
        <v>108.24000000000001</v>
      </c>
      <c r="D661" s="59">
        <v>0.3</v>
      </c>
      <c r="E661" s="17" t="s">
        <v>23</v>
      </c>
      <c r="F661" s="17" t="s">
        <v>531</v>
      </c>
      <c r="G661" s="17" t="s">
        <v>532</v>
      </c>
      <c r="H661" s="17" t="s">
        <v>130</v>
      </c>
      <c r="I661" s="17" t="s">
        <v>526</v>
      </c>
    </row>
    <row r="662" spans="1:9">
      <c r="A662" s="17" t="s">
        <v>533</v>
      </c>
      <c r="B662" s="17" t="s">
        <v>528</v>
      </c>
      <c r="C662" s="68">
        <v>412.55575643333333</v>
      </c>
      <c r="D662" s="57">
        <v>0.5</v>
      </c>
      <c r="E662" s="17" t="s">
        <v>23</v>
      </c>
      <c r="F662" s="17" t="s">
        <v>135</v>
      </c>
      <c r="G662" s="17"/>
      <c r="H662" s="17" t="s">
        <v>130</v>
      </c>
      <c r="I662" s="17" t="s">
        <v>526</v>
      </c>
    </row>
    <row r="663" spans="1:9" ht="15.6">
      <c r="A663" s="17" t="s">
        <v>534</v>
      </c>
      <c r="B663" s="17" t="s">
        <v>528</v>
      </c>
      <c r="C663" s="68">
        <v>511.13333333333338</v>
      </c>
      <c r="D663" s="59">
        <v>0.3</v>
      </c>
      <c r="E663" s="17" t="s">
        <v>23</v>
      </c>
      <c r="F663" s="17" t="s">
        <v>531</v>
      </c>
      <c r="G663" s="17" t="s">
        <v>535</v>
      </c>
      <c r="H663" s="17" t="s">
        <v>130</v>
      </c>
      <c r="I663" s="17" t="s">
        <v>526</v>
      </c>
    </row>
    <row r="664" spans="1:9" ht="15.6">
      <c r="A664" s="17" t="s">
        <v>536</v>
      </c>
      <c r="B664" s="17" t="s">
        <v>528</v>
      </c>
      <c r="C664" s="68">
        <v>108.24000000000001</v>
      </c>
      <c r="D664" s="59">
        <v>0.3</v>
      </c>
      <c r="E664" s="17" t="s">
        <v>23</v>
      </c>
      <c r="F664" s="17" t="s">
        <v>531</v>
      </c>
      <c r="G664" s="17" t="s">
        <v>532</v>
      </c>
      <c r="H664" s="17" t="s">
        <v>130</v>
      </c>
      <c r="I664" s="17" t="s">
        <v>526</v>
      </c>
    </row>
    <row r="665" spans="1:9" ht="15.6">
      <c r="A665" s="17" t="s">
        <v>537</v>
      </c>
      <c r="B665" s="17" t="s">
        <v>528</v>
      </c>
      <c r="C665" s="68">
        <v>274.20800000000003</v>
      </c>
      <c r="D665" s="59">
        <v>0.3</v>
      </c>
      <c r="E665" s="17" t="s">
        <v>23</v>
      </c>
      <c r="F665" s="17" t="s">
        <v>531</v>
      </c>
      <c r="G665" s="17" t="s">
        <v>538</v>
      </c>
      <c r="H665" s="17" t="s">
        <v>130</v>
      </c>
      <c r="I665" s="17" t="s">
        <v>526</v>
      </c>
    </row>
    <row r="666" spans="1:9" ht="15.6">
      <c r="A666" s="17" t="s">
        <v>539</v>
      </c>
      <c r="B666" s="17" t="s">
        <v>528</v>
      </c>
      <c r="C666" s="68">
        <v>324.72000000000003</v>
      </c>
      <c r="D666" s="59">
        <v>0.3</v>
      </c>
      <c r="E666" s="17" t="s">
        <v>23</v>
      </c>
      <c r="F666" s="17" t="s">
        <v>531</v>
      </c>
      <c r="G666" s="17" t="s">
        <v>540</v>
      </c>
      <c r="H666" s="17" t="s">
        <v>130</v>
      </c>
      <c r="I666" s="17" t="s">
        <v>526</v>
      </c>
    </row>
    <row r="667" spans="1:9" s="108" customFormat="1" ht="15.6">
      <c r="A667" s="105" t="s">
        <v>1492</v>
      </c>
      <c r="B667" s="105" t="s">
        <v>523</v>
      </c>
      <c r="C667" s="120">
        <v>77.665710000000004</v>
      </c>
      <c r="D667" s="109"/>
      <c r="E667" s="105" t="s">
        <v>23</v>
      </c>
      <c r="F667" s="105" t="s">
        <v>1105</v>
      </c>
      <c r="G667" s="105"/>
      <c r="H667" s="105" t="s">
        <v>130</v>
      </c>
      <c r="I667" s="105" t="s">
        <v>526</v>
      </c>
    </row>
    <row r="668" spans="1:9" s="108" customFormat="1" ht="15.6">
      <c r="A668" s="105" t="s">
        <v>1493</v>
      </c>
      <c r="B668" s="105" t="s">
        <v>523</v>
      </c>
      <c r="C668" s="120">
        <v>86.541430000000005</v>
      </c>
      <c r="D668" s="109"/>
      <c r="E668" s="105" t="s">
        <v>23</v>
      </c>
      <c r="F668" s="105" t="s">
        <v>1105</v>
      </c>
      <c r="G668" s="105"/>
      <c r="H668" s="105" t="s">
        <v>130</v>
      </c>
      <c r="I668" s="105" t="s">
        <v>526</v>
      </c>
    </row>
    <row r="669" spans="1:9" ht="15.6">
      <c r="A669" s="17" t="s">
        <v>541</v>
      </c>
      <c r="B669" s="17" t="s">
        <v>528</v>
      </c>
      <c r="C669" s="68">
        <v>360.8</v>
      </c>
      <c r="D669" s="59">
        <v>0.3</v>
      </c>
      <c r="E669" s="17" t="s">
        <v>23</v>
      </c>
      <c r="F669" s="17" t="s">
        <v>531</v>
      </c>
      <c r="G669" s="17" t="s">
        <v>542</v>
      </c>
      <c r="H669" s="17" t="s">
        <v>130</v>
      </c>
      <c r="I669" s="17" t="s">
        <v>526</v>
      </c>
    </row>
    <row r="670" spans="1:9" ht="15.6">
      <c r="A670" s="17" t="s">
        <v>543</v>
      </c>
      <c r="B670" s="17" t="s">
        <v>528</v>
      </c>
      <c r="C670" s="68">
        <v>300.66666666666669</v>
      </c>
      <c r="D670" s="59">
        <v>0.3</v>
      </c>
      <c r="E670" s="17" t="s">
        <v>23</v>
      </c>
      <c r="F670" s="17" t="s">
        <v>531</v>
      </c>
      <c r="G670" s="17" t="s">
        <v>544</v>
      </c>
      <c r="H670" s="17" t="s">
        <v>130</v>
      </c>
      <c r="I670" s="17" t="s">
        <v>526</v>
      </c>
    </row>
    <row r="671" spans="1:9" s="108" customFormat="1" ht="15.6">
      <c r="A671" s="105" t="s">
        <v>1494</v>
      </c>
      <c r="B671" s="105" t="s">
        <v>523</v>
      </c>
      <c r="C671" s="120">
        <v>95.417140000000003</v>
      </c>
      <c r="D671" s="109"/>
      <c r="E671" s="105" t="s">
        <v>23</v>
      </c>
      <c r="F671" s="105" t="s">
        <v>1105</v>
      </c>
      <c r="G671" s="105" t="s">
        <v>525</v>
      </c>
      <c r="H671" s="105" t="s">
        <v>130</v>
      </c>
      <c r="I671" s="105" t="s">
        <v>526</v>
      </c>
    </row>
    <row r="672" spans="1:9" ht="15.6">
      <c r="A672" s="17" t="s">
        <v>545</v>
      </c>
      <c r="B672" s="17" t="s">
        <v>528</v>
      </c>
      <c r="C672" s="68">
        <v>14432.000000000002</v>
      </c>
      <c r="D672" s="59">
        <v>0.3</v>
      </c>
      <c r="E672" s="17" t="s">
        <v>23</v>
      </c>
      <c r="F672" s="17" t="s">
        <v>531</v>
      </c>
      <c r="G672" s="17" t="s">
        <v>546</v>
      </c>
      <c r="H672" s="17" t="s">
        <v>130</v>
      </c>
      <c r="I672" s="17" t="s">
        <v>526</v>
      </c>
    </row>
    <row r="673" spans="1:9">
      <c r="A673" s="17" t="s">
        <v>547</v>
      </c>
      <c r="B673" s="17" t="s">
        <v>528</v>
      </c>
      <c r="C673" s="68">
        <v>294.68268316666666</v>
      </c>
      <c r="D673" s="57">
        <v>0.5</v>
      </c>
      <c r="E673" s="17" t="s">
        <v>23</v>
      </c>
      <c r="F673" s="17" t="s">
        <v>135</v>
      </c>
      <c r="G673" s="17"/>
      <c r="H673" s="17" t="s">
        <v>130</v>
      </c>
      <c r="I673" s="17" t="s">
        <v>526</v>
      </c>
    </row>
    <row r="674" spans="1:9">
      <c r="A674" s="17" t="s">
        <v>548</v>
      </c>
      <c r="B674" s="17" t="s">
        <v>528</v>
      </c>
      <c r="C674" s="68">
        <v>185.65009039500001</v>
      </c>
      <c r="D674" s="57">
        <v>0.5</v>
      </c>
      <c r="E674" s="17" t="s">
        <v>23</v>
      </c>
      <c r="F674" s="17" t="s">
        <v>135</v>
      </c>
      <c r="G674" s="17"/>
      <c r="H674" s="17" t="s">
        <v>130</v>
      </c>
      <c r="I674" s="17" t="s">
        <v>526</v>
      </c>
    </row>
    <row r="675" spans="1:9" s="108" customFormat="1" ht="15.6">
      <c r="A675" s="105" t="s">
        <v>1495</v>
      </c>
      <c r="B675" s="105" t="s">
        <v>523</v>
      </c>
      <c r="C675" s="120">
        <v>31.041429999999998</v>
      </c>
      <c r="D675" s="109"/>
      <c r="E675" s="105" t="s">
        <v>23</v>
      </c>
      <c r="F675" s="105" t="s">
        <v>1105</v>
      </c>
      <c r="G675" s="105"/>
      <c r="H675" s="105" t="s">
        <v>130</v>
      </c>
      <c r="I675" s="105" t="s">
        <v>526</v>
      </c>
    </row>
    <row r="676" spans="1:9" s="108" customFormat="1" ht="15.6">
      <c r="A676" s="105" t="s">
        <v>549</v>
      </c>
      <c r="B676" s="105" t="s">
        <v>523</v>
      </c>
      <c r="C676" s="120">
        <v>73.728570000000005</v>
      </c>
      <c r="D676" s="109"/>
      <c r="E676" s="105" t="s">
        <v>23</v>
      </c>
      <c r="F676" s="105" t="s">
        <v>1105</v>
      </c>
      <c r="G676" s="105"/>
      <c r="H676" s="105" t="s">
        <v>130</v>
      </c>
      <c r="I676" s="105" t="s">
        <v>526</v>
      </c>
    </row>
    <row r="677" spans="1:9" s="108" customFormat="1" ht="15.6">
      <c r="A677" s="105" t="s">
        <v>550</v>
      </c>
      <c r="B677" s="105" t="s">
        <v>523</v>
      </c>
      <c r="C677" s="120">
        <v>54.708570000000002</v>
      </c>
      <c r="D677" s="109"/>
      <c r="E677" s="105" t="s">
        <v>23</v>
      </c>
      <c r="F677" s="105" t="s">
        <v>1105</v>
      </c>
      <c r="G677" s="105"/>
      <c r="H677" s="105" t="s">
        <v>130</v>
      </c>
      <c r="I677" s="105" t="s">
        <v>526</v>
      </c>
    </row>
    <row r="678" spans="1:9" s="108" customFormat="1" ht="15.6">
      <c r="A678" s="105" t="s">
        <v>551</v>
      </c>
      <c r="B678" s="105" t="s">
        <v>523</v>
      </c>
      <c r="C678" s="120">
        <v>74.18571</v>
      </c>
      <c r="D678" s="109"/>
      <c r="E678" s="105" t="s">
        <v>23</v>
      </c>
      <c r="F678" s="105" t="s">
        <v>1105</v>
      </c>
      <c r="G678" s="105"/>
      <c r="H678" s="105" t="s">
        <v>130</v>
      </c>
      <c r="I678" s="105" t="s">
        <v>526</v>
      </c>
    </row>
    <row r="679" spans="1:9" s="108" customFormat="1" ht="15.6">
      <c r="A679" s="105" t="s">
        <v>552</v>
      </c>
      <c r="B679" s="105" t="s">
        <v>523</v>
      </c>
      <c r="C679" s="120">
        <v>87.378569999999996</v>
      </c>
      <c r="D679" s="109"/>
      <c r="E679" s="105" t="s">
        <v>23</v>
      </c>
      <c r="F679" s="105" t="s">
        <v>1105</v>
      </c>
      <c r="G679" s="105"/>
      <c r="H679" s="105" t="s">
        <v>130</v>
      </c>
      <c r="I679" s="105" t="s">
        <v>526</v>
      </c>
    </row>
    <row r="680" spans="1:9" ht="15.6">
      <c r="A680" s="17" t="s">
        <v>553</v>
      </c>
      <c r="B680" s="17" t="s">
        <v>528</v>
      </c>
      <c r="C680" s="68">
        <v>363.20533333333339</v>
      </c>
      <c r="D680" s="59">
        <v>0.3</v>
      </c>
      <c r="E680" s="17" t="s">
        <v>23</v>
      </c>
      <c r="F680" s="17" t="s">
        <v>531</v>
      </c>
      <c r="G680" s="17" t="s">
        <v>554</v>
      </c>
      <c r="H680" s="17" t="s">
        <v>130</v>
      </c>
      <c r="I680" s="17" t="s">
        <v>526</v>
      </c>
    </row>
    <row r="681" spans="1:9">
      <c r="A681" s="17" t="s">
        <v>555</v>
      </c>
      <c r="B681" s="17" t="s">
        <v>528</v>
      </c>
      <c r="C681" s="68">
        <v>212.17153188</v>
      </c>
      <c r="D681" s="57">
        <v>0.5</v>
      </c>
      <c r="E681" s="17" t="s">
        <v>23</v>
      </c>
      <c r="F681" s="17" t="s">
        <v>135</v>
      </c>
      <c r="G681" s="17"/>
      <c r="H681" s="17" t="s">
        <v>130</v>
      </c>
      <c r="I681" s="17" t="s">
        <v>526</v>
      </c>
    </row>
    <row r="682" spans="1:9" s="108" customFormat="1" ht="15.6">
      <c r="A682" s="105" t="s">
        <v>1496</v>
      </c>
      <c r="B682" s="105" t="s">
        <v>523</v>
      </c>
      <c r="C682" s="120">
        <v>57.351430000000001</v>
      </c>
      <c r="D682" s="109"/>
      <c r="E682" s="105" t="s">
        <v>23</v>
      </c>
      <c r="F682" s="105" t="s">
        <v>1105</v>
      </c>
      <c r="G682" s="105"/>
      <c r="H682" s="105" t="s">
        <v>130</v>
      </c>
      <c r="I682" s="105" t="s">
        <v>526</v>
      </c>
    </row>
    <row r="683" spans="1:9">
      <c r="A683" s="17" t="s">
        <v>556</v>
      </c>
      <c r="B683" s="17" t="s">
        <v>528</v>
      </c>
      <c r="C683" s="68">
        <v>235.7461465333333</v>
      </c>
      <c r="D683" s="57">
        <v>0.5</v>
      </c>
      <c r="E683" s="17" t="s">
        <v>23</v>
      </c>
      <c r="F683" s="17" t="s">
        <v>135</v>
      </c>
      <c r="G683" s="17"/>
      <c r="H683" s="17" t="s">
        <v>130</v>
      </c>
      <c r="I683" s="17" t="s">
        <v>526</v>
      </c>
    </row>
    <row r="684" spans="1:9">
      <c r="A684" s="17" t="s">
        <v>557</v>
      </c>
      <c r="B684" s="17" t="s">
        <v>528</v>
      </c>
      <c r="C684" s="68">
        <v>294.68268316666666</v>
      </c>
      <c r="D684" s="57">
        <v>0.5</v>
      </c>
      <c r="E684" s="17" t="s">
        <v>23</v>
      </c>
      <c r="F684" s="17" t="s">
        <v>135</v>
      </c>
      <c r="G684" s="17"/>
      <c r="H684" s="17" t="s">
        <v>130</v>
      </c>
      <c r="I684" s="17" t="s">
        <v>526</v>
      </c>
    </row>
    <row r="685" spans="1:9" s="108" customFormat="1" ht="15.6">
      <c r="A685" s="105" t="s">
        <v>558</v>
      </c>
      <c r="B685" s="105" t="s">
        <v>523</v>
      </c>
      <c r="C685" s="120">
        <v>48.551430000000003</v>
      </c>
      <c r="D685" s="109"/>
      <c r="E685" s="105" t="s">
        <v>23</v>
      </c>
      <c r="F685" s="105" t="s">
        <v>1105</v>
      </c>
      <c r="G685" s="105"/>
      <c r="H685" s="105" t="s">
        <v>130</v>
      </c>
      <c r="I685" s="105" t="s">
        <v>526</v>
      </c>
    </row>
    <row r="686" spans="1:9" s="108" customFormat="1" ht="15.6">
      <c r="A686" s="105" t="s">
        <v>1497</v>
      </c>
      <c r="B686" s="105" t="s">
        <v>523</v>
      </c>
      <c r="C686" s="120">
        <v>65.540000000000006</v>
      </c>
      <c r="D686" s="109"/>
      <c r="E686" s="105" t="s">
        <v>23</v>
      </c>
      <c r="F686" s="105" t="s">
        <v>1105</v>
      </c>
      <c r="G686" s="105"/>
      <c r="H686" s="105" t="s">
        <v>130</v>
      </c>
      <c r="I686" s="105" t="s">
        <v>526</v>
      </c>
    </row>
    <row r="687" spans="1:9" s="108" customFormat="1" ht="15.6">
      <c r="A687" s="105" t="s">
        <v>1498</v>
      </c>
      <c r="B687" s="105" t="s">
        <v>523</v>
      </c>
      <c r="C687" s="120">
        <v>57.958570000000002</v>
      </c>
      <c r="D687" s="109"/>
      <c r="E687" s="105" t="s">
        <v>23</v>
      </c>
      <c r="F687" s="105" t="s">
        <v>1105</v>
      </c>
      <c r="G687" s="105"/>
      <c r="H687" s="105" t="s">
        <v>130</v>
      </c>
      <c r="I687" s="105" t="s">
        <v>526</v>
      </c>
    </row>
    <row r="688" spans="1:9" s="108" customFormat="1">
      <c r="A688" s="105" t="s">
        <v>1499</v>
      </c>
      <c r="B688" s="105" t="s">
        <v>523</v>
      </c>
      <c r="C688" s="120">
        <v>41.205710000000003</v>
      </c>
      <c r="D688" s="107"/>
      <c r="E688" s="105" t="s">
        <v>23</v>
      </c>
      <c r="F688" s="105" t="s">
        <v>1105</v>
      </c>
      <c r="G688" s="105"/>
      <c r="H688" s="105" t="s">
        <v>130</v>
      </c>
      <c r="I688" s="105" t="s">
        <v>526</v>
      </c>
    </row>
    <row r="689" spans="1:9" s="108" customFormat="1">
      <c r="A689" s="105" t="s">
        <v>1500</v>
      </c>
      <c r="B689" s="105" t="s">
        <v>523</v>
      </c>
      <c r="C689" s="120">
        <v>50.85</v>
      </c>
      <c r="D689" s="107"/>
      <c r="E689" s="105" t="s">
        <v>23</v>
      </c>
      <c r="F689" s="105" t="s">
        <v>1105</v>
      </c>
      <c r="G689" s="105"/>
      <c r="H689" s="105" t="s">
        <v>130</v>
      </c>
      <c r="I689" s="105" t="s">
        <v>526</v>
      </c>
    </row>
    <row r="690" spans="1:9">
      <c r="A690" s="17" t="s">
        <v>559</v>
      </c>
      <c r="B690" s="17" t="s">
        <v>528</v>
      </c>
      <c r="C690" s="68">
        <v>177.76809609899999</v>
      </c>
      <c r="D690" s="57">
        <v>0.5</v>
      </c>
      <c r="E690" s="17" t="s">
        <v>23</v>
      </c>
      <c r="F690" s="17" t="s">
        <v>135</v>
      </c>
      <c r="G690" s="17"/>
      <c r="H690" s="17" t="s">
        <v>130</v>
      </c>
      <c r="I690" s="17" t="s">
        <v>526</v>
      </c>
    </row>
    <row r="691" spans="1:9" s="108" customFormat="1">
      <c r="A691" s="105" t="s">
        <v>1501</v>
      </c>
      <c r="B691" s="105" t="s">
        <v>523</v>
      </c>
      <c r="C691" s="120">
        <v>16.34571</v>
      </c>
      <c r="D691" s="107"/>
      <c r="E691" s="105" t="s">
        <v>23</v>
      </c>
      <c r="F691" s="105" t="s">
        <v>1105</v>
      </c>
      <c r="G691" s="105"/>
      <c r="H691" s="105" t="s">
        <v>130</v>
      </c>
      <c r="I691" s="105" t="s">
        <v>526</v>
      </c>
    </row>
    <row r="692" spans="1:9">
      <c r="A692" s="17" t="s">
        <v>560</v>
      </c>
      <c r="B692" s="17" t="s">
        <v>528</v>
      </c>
      <c r="C692" s="68">
        <v>113.15815033600002</v>
      </c>
      <c r="D692" s="57">
        <v>0.5</v>
      </c>
      <c r="E692" s="17" t="s">
        <v>23</v>
      </c>
      <c r="F692" s="17" t="s">
        <v>135</v>
      </c>
      <c r="G692" s="17"/>
      <c r="H692" s="17" t="s">
        <v>130</v>
      </c>
      <c r="I692" s="17" t="s">
        <v>526</v>
      </c>
    </row>
    <row r="693" spans="1:9" ht="15.6">
      <c r="A693" s="17" t="s">
        <v>561</v>
      </c>
      <c r="B693" s="17" t="s">
        <v>528</v>
      </c>
      <c r="C693" s="68">
        <v>300.66666666666669</v>
      </c>
      <c r="D693" s="59">
        <v>0.3</v>
      </c>
      <c r="E693" s="17" t="s">
        <v>23</v>
      </c>
      <c r="F693" s="17" t="s">
        <v>531</v>
      </c>
      <c r="G693" s="17" t="s">
        <v>544</v>
      </c>
      <c r="H693" s="17" t="s">
        <v>130</v>
      </c>
      <c r="I693" s="17" t="s">
        <v>526</v>
      </c>
    </row>
    <row r="694" spans="1:9" ht="15.6">
      <c r="A694" s="17" t="s">
        <v>562</v>
      </c>
      <c r="B694" s="17" t="s">
        <v>528</v>
      </c>
      <c r="C694" s="68">
        <v>306.68</v>
      </c>
      <c r="D694" s="59">
        <v>0.3</v>
      </c>
      <c r="E694" s="17" t="s">
        <v>23</v>
      </c>
      <c r="F694" s="17" t="s">
        <v>531</v>
      </c>
      <c r="G694" s="17" t="s">
        <v>563</v>
      </c>
      <c r="H694" s="17" t="s">
        <v>130</v>
      </c>
      <c r="I694" s="17" t="s">
        <v>526</v>
      </c>
    </row>
    <row r="695" spans="1:9" ht="15.6">
      <c r="A695" s="17" t="s">
        <v>564</v>
      </c>
      <c r="B695" s="17" t="s">
        <v>528</v>
      </c>
      <c r="C695" s="68">
        <v>270.60000000000002</v>
      </c>
      <c r="D695" s="59">
        <v>0.3</v>
      </c>
      <c r="E695" s="17" t="s">
        <v>23</v>
      </c>
      <c r="F695" s="17" t="s">
        <v>531</v>
      </c>
      <c r="G695" s="17" t="s">
        <v>565</v>
      </c>
      <c r="H695" s="17" t="s">
        <v>130</v>
      </c>
      <c r="I695" s="17" t="s">
        <v>526</v>
      </c>
    </row>
    <row r="696" spans="1:9">
      <c r="A696" s="17" t="s">
        <v>566</v>
      </c>
      <c r="B696" s="17" t="s">
        <v>528</v>
      </c>
      <c r="C696" s="68">
        <v>366.66666666666663</v>
      </c>
      <c r="D696" s="57">
        <v>0.5</v>
      </c>
      <c r="E696" s="17" t="s">
        <v>23</v>
      </c>
      <c r="F696" s="17" t="s">
        <v>135</v>
      </c>
      <c r="G696" s="17"/>
      <c r="H696" s="17" t="s">
        <v>130</v>
      </c>
      <c r="I696" s="17" t="s">
        <v>526</v>
      </c>
    </row>
    <row r="697" spans="1:9">
      <c r="A697" s="17" t="s">
        <v>567</v>
      </c>
      <c r="B697" s="17" t="s">
        <v>528</v>
      </c>
      <c r="C697" s="68">
        <v>363</v>
      </c>
      <c r="D697" s="57">
        <v>0.5</v>
      </c>
      <c r="E697" s="17" t="s">
        <v>23</v>
      </c>
      <c r="F697" s="17" t="s">
        <v>135</v>
      </c>
      <c r="G697" s="17"/>
      <c r="H697" s="17" t="s">
        <v>130</v>
      </c>
      <c r="I697" s="17" t="s">
        <v>526</v>
      </c>
    </row>
    <row r="698" spans="1:9" s="108" customFormat="1" ht="15.6">
      <c r="A698" s="105" t="s">
        <v>1502</v>
      </c>
      <c r="B698" s="105" t="s">
        <v>523</v>
      </c>
      <c r="C698" s="120">
        <v>95.871430000000004</v>
      </c>
      <c r="D698" s="109"/>
      <c r="E698" s="105" t="s">
        <v>23</v>
      </c>
      <c r="F698" s="105" t="s">
        <v>1105</v>
      </c>
      <c r="G698" s="105"/>
      <c r="H698" s="105" t="s">
        <v>130</v>
      </c>
      <c r="I698" s="105" t="s">
        <v>526</v>
      </c>
    </row>
    <row r="699" spans="1:9" s="108" customFormat="1" ht="15.6">
      <c r="A699" s="105" t="s">
        <v>1503</v>
      </c>
      <c r="B699" s="105" t="s">
        <v>523</v>
      </c>
      <c r="C699" s="120">
        <v>79.352860000000007</v>
      </c>
      <c r="D699" s="109"/>
      <c r="E699" s="105" t="s">
        <v>23</v>
      </c>
      <c r="F699" s="105" t="s">
        <v>1105</v>
      </c>
      <c r="G699" s="105"/>
      <c r="H699" s="105" t="s">
        <v>130</v>
      </c>
      <c r="I699" s="105" t="s">
        <v>526</v>
      </c>
    </row>
    <row r="700" spans="1:9" s="108" customFormat="1" ht="15.6">
      <c r="A700" s="105" t="s">
        <v>1504</v>
      </c>
      <c r="B700" s="105" t="s">
        <v>523</v>
      </c>
      <c r="C700" s="120">
        <v>37.821429999999999</v>
      </c>
      <c r="D700" s="109"/>
      <c r="E700" s="105" t="s">
        <v>23</v>
      </c>
      <c r="F700" s="105" t="s">
        <v>1105</v>
      </c>
      <c r="G700" s="105"/>
      <c r="H700" s="105" t="s">
        <v>130</v>
      </c>
      <c r="I700" s="105" t="s">
        <v>526</v>
      </c>
    </row>
    <row r="701" spans="1:9" s="108" customFormat="1" ht="15.6">
      <c r="A701" s="105" t="s">
        <v>1505</v>
      </c>
      <c r="B701" s="105" t="s">
        <v>523</v>
      </c>
      <c r="C701" s="120">
        <v>65.555710000000005</v>
      </c>
      <c r="D701" s="109"/>
      <c r="E701" s="105" t="s">
        <v>23</v>
      </c>
      <c r="F701" s="105" t="s">
        <v>1105</v>
      </c>
      <c r="G701" s="105"/>
      <c r="H701" s="105" t="s">
        <v>130</v>
      </c>
      <c r="I701" s="105" t="s">
        <v>526</v>
      </c>
    </row>
    <row r="702" spans="1:9" s="108" customFormat="1" ht="15.6">
      <c r="A702" s="105" t="s">
        <v>1506</v>
      </c>
      <c r="B702" s="105" t="s">
        <v>523</v>
      </c>
      <c r="C702" s="120">
        <v>81.447140000000005</v>
      </c>
      <c r="D702" s="109"/>
      <c r="E702" s="105" t="s">
        <v>23</v>
      </c>
      <c r="F702" s="105" t="s">
        <v>1105</v>
      </c>
      <c r="G702" s="105"/>
      <c r="H702" s="105" t="s">
        <v>130</v>
      </c>
      <c r="I702" s="105" t="s">
        <v>526</v>
      </c>
    </row>
    <row r="703" spans="1:9" s="108" customFormat="1" ht="15.6">
      <c r="A703" s="105" t="s">
        <v>570</v>
      </c>
      <c r="B703" s="105" t="s">
        <v>523</v>
      </c>
      <c r="C703" s="120">
        <v>70.842860000000002</v>
      </c>
      <c r="D703" s="109"/>
      <c r="E703" s="105" t="s">
        <v>23</v>
      </c>
      <c r="F703" s="105" t="s">
        <v>1105</v>
      </c>
      <c r="G703" s="105"/>
      <c r="H703" s="105" t="s">
        <v>130</v>
      </c>
      <c r="I703" s="105" t="s">
        <v>526</v>
      </c>
    </row>
    <row r="704" spans="1:9" ht="15.6">
      <c r="A704" s="17" t="s">
        <v>571</v>
      </c>
      <c r="B704" s="17" t="s">
        <v>528</v>
      </c>
      <c r="C704" s="68">
        <v>93.808000000000007</v>
      </c>
      <c r="D704" s="59">
        <v>0.3</v>
      </c>
      <c r="E704" s="17" t="s">
        <v>23</v>
      </c>
      <c r="F704" s="17" t="s">
        <v>531</v>
      </c>
      <c r="G704" s="17" t="s">
        <v>572</v>
      </c>
      <c r="H704" s="17" t="s">
        <v>130</v>
      </c>
      <c r="I704" s="17" t="s">
        <v>526</v>
      </c>
    </row>
    <row r="705" spans="1:9" ht="15.6">
      <c r="A705" s="17" t="s">
        <v>573</v>
      </c>
      <c r="B705" s="17" t="s">
        <v>528</v>
      </c>
      <c r="C705" s="68">
        <v>192.42666666666668</v>
      </c>
      <c r="D705" s="59">
        <v>0.3</v>
      </c>
      <c r="E705" s="17" t="s">
        <v>23</v>
      </c>
      <c r="F705" s="17" t="s">
        <v>531</v>
      </c>
      <c r="G705" s="17" t="s">
        <v>568</v>
      </c>
      <c r="H705" s="17" t="s">
        <v>130</v>
      </c>
      <c r="I705" s="17" t="s">
        <v>526</v>
      </c>
    </row>
    <row r="706" spans="1:9" s="108" customFormat="1">
      <c r="A706" s="105" t="s">
        <v>1507</v>
      </c>
      <c r="B706" s="105" t="s">
        <v>523</v>
      </c>
      <c r="C706" s="120">
        <v>60.181429999999999</v>
      </c>
      <c r="D706" s="107"/>
      <c r="E706" s="105" t="s">
        <v>23</v>
      </c>
      <c r="F706" s="105" t="s">
        <v>1105</v>
      </c>
      <c r="G706" s="105"/>
      <c r="H706" s="105" t="s">
        <v>130</v>
      </c>
      <c r="I706" s="105" t="s">
        <v>526</v>
      </c>
    </row>
    <row r="707" spans="1:9">
      <c r="A707" s="17" t="s">
        <v>574</v>
      </c>
      <c r="B707" s="17" t="s">
        <v>528</v>
      </c>
      <c r="C707" s="68">
        <v>294.68268316666666</v>
      </c>
      <c r="D707" s="57">
        <v>0.5</v>
      </c>
      <c r="E707" s="17" t="s">
        <v>23</v>
      </c>
      <c r="F707" s="17" t="s">
        <v>135</v>
      </c>
      <c r="G707" s="17"/>
      <c r="H707" s="17" t="s">
        <v>130</v>
      </c>
      <c r="I707" s="17" t="s">
        <v>526</v>
      </c>
    </row>
    <row r="708" spans="1:9">
      <c r="A708" s="17" t="s">
        <v>575</v>
      </c>
      <c r="B708" s="17" t="s">
        <v>528</v>
      </c>
      <c r="C708" s="68">
        <v>117.87307326666665</v>
      </c>
      <c r="D708" s="57">
        <v>0.5</v>
      </c>
      <c r="E708" s="17" t="s">
        <v>23</v>
      </c>
      <c r="F708" s="17" t="s">
        <v>135</v>
      </c>
      <c r="G708" s="17"/>
      <c r="H708" s="17" t="s">
        <v>130</v>
      </c>
      <c r="I708" s="17" t="s">
        <v>526</v>
      </c>
    </row>
    <row r="709" spans="1:9">
      <c r="A709" s="17" t="s">
        <v>576</v>
      </c>
      <c r="B709" s="17" t="s">
        <v>528</v>
      </c>
      <c r="C709" s="68">
        <v>235.7461465333333</v>
      </c>
      <c r="D709" s="57">
        <v>0.5</v>
      </c>
      <c r="E709" s="17" t="s">
        <v>23</v>
      </c>
      <c r="F709" s="17" t="s">
        <v>135</v>
      </c>
      <c r="G709" s="17"/>
      <c r="H709" s="17" t="s">
        <v>130</v>
      </c>
      <c r="I709" s="17" t="s">
        <v>526</v>
      </c>
    </row>
    <row r="710" spans="1:9" s="108" customFormat="1">
      <c r="A710" s="105" t="s">
        <v>579</v>
      </c>
      <c r="B710" s="105" t="s">
        <v>55</v>
      </c>
      <c r="C710" s="120">
        <v>5500</v>
      </c>
      <c r="D710" s="107">
        <v>0.5</v>
      </c>
      <c r="E710" s="105" t="s">
        <v>23</v>
      </c>
      <c r="F710" s="105" t="s">
        <v>1201</v>
      </c>
      <c r="G710" s="105"/>
      <c r="H710" s="105" t="s">
        <v>130</v>
      </c>
      <c r="I710" s="105" t="s">
        <v>526</v>
      </c>
    </row>
    <row r="711" spans="1:9" s="108" customFormat="1" ht="15.6">
      <c r="A711" s="105" t="s">
        <v>1508</v>
      </c>
      <c r="B711" s="105" t="s">
        <v>523</v>
      </c>
      <c r="C711" s="120">
        <v>265.24</v>
      </c>
      <c r="D711" s="109"/>
      <c r="E711" s="105" t="s">
        <v>23</v>
      </c>
      <c r="F711" s="105" t="s">
        <v>1105</v>
      </c>
      <c r="G711" s="105"/>
      <c r="H711" s="105" t="s">
        <v>130</v>
      </c>
      <c r="I711" s="105" t="s">
        <v>526</v>
      </c>
    </row>
    <row r="712" spans="1:9" ht="15.6">
      <c r="A712" s="17" t="s">
        <v>577</v>
      </c>
      <c r="B712" s="17" t="s">
        <v>528</v>
      </c>
      <c r="C712" s="68">
        <v>300.66666666666669</v>
      </c>
      <c r="D712" s="59">
        <v>0.3</v>
      </c>
      <c r="E712" s="17" t="s">
        <v>23</v>
      </c>
      <c r="F712" s="17" t="s">
        <v>531</v>
      </c>
      <c r="G712" s="17" t="s">
        <v>544</v>
      </c>
      <c r="H712" s="17" t="s">
        <v>130</v>
      </c>
      <c r="I712" s="17" t="s">
        <v>526</v>
      </c>
    </row>
    <row r="713" spans="1:9" ht="15.6">
      <c r="A713" s="17" t="s">
        <v>578</v>
      </c>
      <c r="B713" s="17" t="s">
        <v>528</v>
      </c>
      <c r="C713" s="68">
        <v>108.24000000000001</v>
      </c>
      <c r="D713" s="59">
        <v>0.3</v>
      </c>
      <c r="E713" s="17" t="s">
        <v>23</v>
      </c>
      <c r="F713" s="17" t="s">
        <v>531</v>
      </c>
      <c r="G713" s="17" t="s">
        <v>532</v>
      </c>
      <c r="H713" s="17" t="s">
        <v>130</v>
      </c>
      <c r="I713" s="17" t="s">
        <v>526</v>
      </c>
    </row>
    <row r="714" spans="1:9" s="108" customFormat="1" ht="15.6">
      <c r="A714" s="105" t="s">
        <v>1509</v>
      </c>
      <c r="B714" s="105" t="s">
        <v>523</v>
      </c>
      <c r="C714" s="120">
        <v>66.742859999999993</v>
      </c>
      <c r="D714" s="109"/>
      <c r="E714" s="105" t="s">
        <v>23</v>
      </c>
      <c r="F714" s="105" t="s">
        <v>1105</v>
      </c>
      <c r="G714" s="105"/>
      <c r="H714" s="105" t="s">
        <v>130</v>
      </c>
      <c r="I714" s="105" t="s">
        <v>526</v>
      </c>
    </row>
    <row r="715" spans="1:9" s="108" customFormat="1" ht="15.6">
      <c r="A715" s="105" t="s">
        <v>1510</v>
      </c>
      <c r="B715" s="105" t="s">
        <v>523</v>
      </c>
      <c r="C715" s="120">
        <v>78.005709999999993</v>
      </c>
      <c r="D715" s="109"/>
      <c r="E715" s="105" t="s">
        <v>23</v>
      </c>
      <c r="F715" s="105" t="s">
        <v>1105</v>
      </c>
      <c r="G715" s="105"/>
      <c r="H715" s="105" t="s">
        <v>130</v>
      </c>
      <c r="I715" s="105" t="s">
        <v>526</v>
      </c>
    </row>
    <row r="716" spans="1:9" s="108" customFormat="1" ht="15.6">
      <c r="A716" s="105" t="s">
        <v>1511</v>
      </c>
      <c r="B716" s="105" t="s">
        <v>523</v>
      </c>
      <c r="C716" s="120">
        <v>152.26714000000001</v>
      </c>
      <c r="D716" s="109"/>
      <c r="E716" s="105" t="s">
        <v>23</v>
      </c>
      <c r="F716" s="105" t="s">
        <v>1105</v>
      </c>
      <c r="G716" s="105"/>
      <c r="H716" s="105" t="s">
        <v>130</v>
      </c>
      <c r="I716" s="105" t="s">
        <v>526</v>
      </c>
    </row>
    <row r="717" spans="1:9" s="108" customFormat="1" ht="15.6">
      <c r="A717" s="105" t="s">
        <v>1512</v>
      </c>
      <c r="B717" s="105" t="s">
        <v>523</v>
      </c>
      <c r="C717" s="120">
        <v>125.8</v>
      </c>
      <c r="D717" s="109"/>
      <c r="E717" s="105" t="s">
        <v>23</v>
      </c>
      <c r="F717" s="105" t="s">
        <v>1105</v>
      </c>
      <c r="G717" s="105"/>
      <c r="H717" s="105" t="s">
        <v>130</v>
      </c>
      <c r="I717" s="105" t="s">
        <v>526</v>
      </c>
    </row>
    <row r="718" spans="1:9" s="108" customFormat="1" ht="15.6">
      <c r="A718" s="105" t="s">
        <v>1513</v>
      </c>
      <c r="B718" s="105" t="s">
        <v>523</v>
      </c>
      <c r="C718" s="120">
        <v>234.73142999999999</v>
      </c>
      <c r="D718" s="109"/>
      <c r="E718" s="105" t="s">
        <v>23</v>
      </c>
      <c r="F718" s="105" t="s">
        <v>1105</v>
      </c>
      <c r="G718" s="105"/>
      <c r="H718" s="105" t="s">
        <v>130</v>
      </c>
      <c r="I718" s="105" t="s">
        <v>526</v>
      </c>
    </row>
    <row r="719" spans="1:9" s="108" customFormat="1" ht="15.6">
      <c r="A719" s="105" t="s">
        <v>1514</v>
      </c>
      <c r="B719" s="105" t="s">
        <v>523</v>
      </c>
      <c r="C719" s="120">
        <v>193.71429000000001</v>
      </c>
      <c r="D719" s="109"/>
      <c r="E719" s="105" t="s">
        <v>23</v>
      </c>
      <c r="F719" s="105" t="s">
        <v>1105</v>
      </c>
      <c r="G719" s="105"/>
      <c r="H719" s="105" t="s">
        <v>130</v>
      </c>
      <c r="I719" s="105" t="s">
        <v>526</v>
      </c>
    </row>
    <row r="720" spans="1:9">
      <c r="A720" s="17" t="s">
        <v>580</v>
      </c>
      <c r="B720" s="17" t="s">
        <v>528</v>
      </c>
      <c r="C720" s="68">
        <v>141.44768791999999</v>
      </c>
      <c r="D720" s="57">
        <v>0.5</v>
      </c>
      <c r="E720" s="17" t="s">
        <v>23</v>
      </c>
      <c r="F720" s="17" t="s">
        <v>135</v>
      </c>
      <c r="G720" s="17"/>
      <c r="H720" s="17" t="s">
        <v>130</v>
      </c>
      <c r="I720" s="17" t="s">
        <v>526</v>
      </c>
    </row>
    <row r="721" spans="1:9" s="108" customFormat="1" ht="15.6">
      <c r="A721" s="105" t="s">
        <v>581</v>
      </c>
      <c r="B721" s="105" t="s">
        <v>523</v>
      </c>
      <c r="C721" s="120">
        <v>28.751429999999999</v>
      </c>
      <c r="D721" s="109"/>
      <c r="E721" s="105" t="s">
        <v>23</v>
      </c>
      <c r="F721" s="105" t="s">
        <v>1105</v>
      </c>
      <c r="G721" s="105"/>
      <c r="H721" s="105" t="s">
        <v>130</v>
      </c>
      <c r="I721" s="105" t="s">
        <v>526</v>
      </c>
    </row>
    <row r="722" spans="1:9" s="108" customFormat="1" ht="15.6">
      <c r="A722" s="105" t="s">
        <v>1515</v>
      </c>
      <c r="B722" s="105" t="s">
        <v>523</v>
      </c>
      <c r="C722" s="120">
        <v>31.17286</v>
      </c>
      <c r="D722" s="109"/>
      <c r="E722" s="105" t="s">
        <v>23</v>
      </c>
      <c r="F722" s="105" t="s">
        <v>1105</v>
      </c>
      <c r="G722" s="105"/>
      <c r="H722" s="105" t="s">
        <v>130</v>
      </c>
      <c r="I722" s="105" t="s">
        <v>526</v>
      </c>
    </row>
    <row r="723" spans="1:9" s="108" customFormat="1" ht="15.6">
      <c r="A723" s="105" t="s">
        <v>1516</v>
      </c>
      <c r="B723" s="105" t="s">
        <v>523</v>
      </c>
      <c r="C723" s="120">
        <v>72.847139999999996</v>
      </c>
      <c r="D723" s="109"/>
      <c r="E723" s="105" t="s">
        <v>23</v>
      </c>
      <c r="F723" s="105" t="s">
        <v>1105</v>
      </c>
      <c r="G723" s="105"/>
      <c r="H723" s="105" t="s">
        <v>130</v>
      </c>
      <c r="I723" s="105" t="s">
        <v>526</v>
      </c>
    </row>
    <row r="724" spans="1:9" s="108" customFormat="1" ht="15.6">
      <c r="A724" s="105" t="s">
        <v>1517</v>
      </c>
      <c r="B724" s="105" t="s">
        <v>523</v>
      </c>
      <c r="C724" s="120">
        <v>82.654290000000003</v>
      </c>
      <c r="D724" s="109"/>
      <c r="E724" s="105" t="s">
        <v>23</v>
      </c>
      <c r="F724" s="105" t="s">
        <v>1105</v>
      </c>
      <c r="G724" s="105"/>
      <c r="H724" s="105" t="s">
        <v>130</v>
      </c>
      <c r="I724" s="105" t="s">
        <v>526</v>
      </c>
    </row>
    <row r="725" spans="1:9" s="108" customFormat="1" ht="15.6">
      <c r="A725" s="105" t="s">
        <v>1518</v>
      </c>
      <c r="B725" s="105" t="s">
        <v>523</v>
      </c>
      <c r="C725" s="120">
        <v>50.771430000000002</v>
      </c>
      <c r="D725" s="109"/>
      <c r="E725" s="105" t="s">
        <v>23</v>
      </c>
      <c r="F725" s="105" t="s">
        <v>1105</v>
      </c>
      <c r="G725" s="105"/>
      <c r="H725" s="105" t="s">
        <v>130</v>
      </c>
      <c r="I725" s="105" t="s">
        <v>526</v>
      </c>
    </row>
    <row r="726" spans="1:9" s="108" customFormat="1" ht="15.6">
      <c r="A726" s="105" t="s">
        <v>1519</v>
      </c>
      <c r="B726" s="105" t="s">
        <v>523</v>
      </c>
      <c r="C726" s="120">
        <v>60.385710000000003</v>
      </c>
      <c r="D726" s="109"/>
      <c r="E726" s="105" t="s">
        <v>23</v>
      </c>
      <c r="F726" s="105" t="s">
        <v>1105</v>
      </c>
      <c r="G726" s="105"/>
      <c r="H726" s="105" t="s">
        <v>130</v>
      </c>
      <c r="I726" s="105" t="s">
        <v>526</v>
      </c>
    </row>
    <row r="727" spans="1:9" ht="15.6">
      <c r="A727" s="17" t="s">
        <v>582</v>
      </c>
      <c r="B727" s="17" t="s">
        <v>528</v>
      </c>
      <c r="C727" s="68">
        <v>180.4</v>
      </c>
      <c r="D727" s="59">
        <v>0.3</v>
      </c>
      <c r="E727" s="17" t="s">
        <v>23</v>
      </c>
      <c r="F727" s="17" t="s">
        <v>531</v>
      </c>
      <c r="G727" s="17" t="s">
        <v>569</v>
      </c>
      <c r="H727" s="17" t="s">
        <v>130</v>
      </c>
      <c r="I727" s="17" t="s">
        <v>526</v>
      </c>
    </row>
    <row r="728" spans="1:9" s="108" customFormat="1">
      <c r="A728" s="105" t="s">
        <v>1520</v>
      </c>
      <c r="B728" s="105" t="s">
        <v>528</v>
      </c>
      <c r="C728" s="120">
        <v>105.24285999999999</v>
      </c>
      <c r="D728" s="107"/>
      <c r="E728" s="105" t="s">
        <v>23</v>
      </c>
      <c r="F728" s="105" t="s">
        <v>1105</v>
      </c>
      <c r="G728" s="105"/>
      <c r="H728" s="105" t="s">
        <v>130</v>
      </c>
      <c r="I728" s="105" t="s">
        <v>526</v>
      </c>
    </row>
    <row r="729" spans="1:9" ht="15.6">
      <c r="A729" s="17" t="s">
        <v>583</v>
      </c>
      <c r="B729" s="17" t="s">
        <v>523</v>
      </c>
      <c r="C729" s="68">
        <v>59.242857142857147</v>
      </c>
      <c r="D729" s="59">
        <v>0.3</v>
      </c>
      <c r="E729" s="17" t="s">
        <v>23</v>
      </c>
      <c r="F729" s="17" t="s">
        <v>524</v>
      </c>
      <c r="G729" s="17" t="s">
        <v>525</v>
      </c>
      <c r="H729" s="17" t="s">
        <v>130</v>
      </c>
      <c r="I729" s="17" t="s">
        <v>526</v>
      </c>
    </row>
    <row r="730" spans="1:9" ht="15.6">
      <c r="A730" s="17" t="s">
        <v>584</v>
      </c>
      <c r="B730" s="17" t="s">
        <v>523</v>
      </c>
      <c r="C730" s="68">
        <v>75.942857142857136</v>
      </c>
      <c r="D730" s="59">
        <v>0.3</v>
      </c>
      <c r="E730" s="17" t="s">
        <v>23</v>
      </c>
      <c r="F730" s="17" t="s">
        <v>524</v>
      </c>
      <c r="G730" s="17" t="s">
        <v>525</v>
      </c>
      <c r="H730" s="17" t="s">
        <v>130</v>
      </c>
      <c r="I730" s="17" t="s">
        <v>526</v>
      </c>
    </row>
    <row r="731" spans="1:9" ht="15.6">
      <c r="A731" s="17" t="s">
        <v>585</v>
      </c>
      <c r="B731" s="17" t="s">
        <v>523</v>
      </c>
      <c r="C731" s="68">
        <v>107.34285714285714</v>
      </c>
      <c r="D731" s="59">
        <v>0.3</v>
      </c>
      <c r="E731" s="17" t="s">
        <v>23</v>
      </c>
      <c r="F731" s="17" t="s">
        <v>524</v>
      </c>
      <c r="G731" s="17" t="s">
        <v>525</v>
      </c>
      <c r="H731" s="17" t="s">
        <v>130</v>
      </c>
      <c r="I731" s="17" t="s">
        <v>526</v>
      </c>
    </row>
    <row r="732" spans="1:9" ht="15.6">
      <c r="A732" s="17" t="s">
        <v>586</v>
      </c>
      <c r="B732" s="17" t="s">
        <v>523</v>
      </c>
      <c r="C732" s="68">
        <v>163.39047619047619</v>
      </c>
      <c r="D732" s="59">
        <v>0.3</v>
      </c>
      <c r="E732" s="17" t="s">
        <v>23</v>
      </c>
      <c r="F732" s="17" t="s">
        <v>524</v>
      </c>
      <c r="G732" s="17" t="s">
        <v>525</v>
      </c>
      <c r="H732" s="17" t="s">
        <v>130</v>
      </c>
      <c r="I732" s="17" t="s">
        <v>526</v>
      </c>
    </row>
    <row r="733" spans="1:9" s="108" customFormat="1" ht="15.6">
      <c r="A733" s="105" t="s">
        <v>1521</v>
      </c>
      <c r="B733" s="105" t="s">
        <v>523</v>
      </c>
      <c r="C733" s="120">
        <v>109.50286</v>
      </c>
      <c r="D733" s="109"/>
      <c r="E733" s="105" t="s">
        <v>23</v>
      </c>
      <c r="F733" s="105" t="s">
        <v>1105</v>
      </c>
      <c r="G733" s="105"/>
      <c r="H733" s="105" t="s">
        <v>130</v>
      </c>
      <c r="I733" s="105" t="s">
        <v>526</v>
      </c>
    </row>
    <row r="734" spans="1:9" s="108" customFormat="1" ht="15.6">
      <c r="A734" s="105" t="s">
        <v>1522</v>
      </c>
      <c r="B734" s="105" t="s">
        <v>523</v>
      </c>
      <c r="C734" s="120">
        <v>166.11714000000001</v>
      </c>
      <c r="D734" s="109"/>
      <c r="E734" s="105" t="s">
        <v>23</v>
      </c>
      <c r="F734" s="105" t="s">
        <v>1105</v>
      </c>
      <c r="G734" s="105"/>
      <c r="H734" s="105" t="s">
        <v>130</v>
      </c>
      <c r="I734" s="105" t="s">
        <v>526</v>
      </c>
    </row>
    <row r="735" spans="1:9" s="108" customFormat="1" ht="15.6">
      <c r="A735" s="105" t="s">
        <v>1523</v>
      </c>
      <c r="B735" s="105" t="s">
        <v>523</v>
      </c>
      <c r="C735" s="120">
        <v>260.83857</v>
      </c>
      <c r="D735" s="109"/>
      <c r="E735" s="105" t="s">
        <v>23</v>
      </c>
      <c r="F735" s="105" t="s">
        <v>1105</v>
      </c>
      <c r="G735" s="105"/>
      <c r="H735" s="105" t="s">
        <v>130</v>
      </c>
      <c r="I735" s="105" t="s">
        <v>526</v>
      </c>
    </row>
    <row r="736" spans="1:9" s="108" customFormat="1" ht="15.6">
      <c r="A736" s="105" t="s">
        <v>1524</v>
      </c>
      <c r="B736" s="105" t="s">
        <v>523</v>
      </c>
      <c r="C736" s="120">
        <v>303.02429000000001</v>
      </c>
      <c r="D736" s="109"/>
      <c r="E736" s="105" t="s">
        <v>23</v>
      </c>
      <c r="F736" s="105" t="s">
        <v>1105</v>
      </c>
      <c r="G736" s="105"/>
      <c r="H736" s="105" t="s">
        <v>130</v>
      </c>
      <c r="I736" s="105" t="s">
        <v>526</v>
      </c>
    </row>
    <row r="737" spans="1:9" s="108" customFormat="1" ht="15.6">
      <c r="A737" s="105" t="s">
        <v>1525</v>
      </c>
      <c r="B737" s="105" t="s">
        <v>523</v>
      </c>
      <c r="C737" s="120">
        <v>90.585710000000006</v>
      </c>
      <c r="D737" s="109"/>
      <c r="E737" s="105" t="s">
        <v>23</v>
      </c>
      <c r="F737" s="105" t="s">
        <v>1105</v>
      </c>
      <c r="G737" s="105"/>
      <c r="H737" s="105" t="s">
        <v>130</v>
      </c>
      <c r="I737" s="105" t="s">
        <v>526</v>
      </c>
    </row>
    <row r="738" spans="1:9" s="108" customFormat="1" ht="15.6">
      <c r="A738" s="105" t="s">
        <v>1526</v>
      </c>
      <c r="B738" s="105" t="s">
        <v>523</v>
      </c>
      <c r="C738" s="120">
        <v>137.19999999999999</v>
      </c>
      <c r="D738" s="109"/>
      <c r="E738" s="105" t="s">
        <v>23</v>
      </c>
      <c r="F738" s="105" t="s">
        <v>1105</v>
      </c>
      <c r="G738" s="105"/>
      <c r="H738" s="105" t="s">
        <v>130</v>
      </c>
      <c r="I738" s="105" t="s">
        <v>526</v>
      </c>
    </row>
    <row r="739" spans="1:9" s="108" customFormat="1" ht="15.6">
      <c r="A739" s="105" t="s">
        <v>587</v>
      </c>
      <c r="B739" s="105" t="s">
        <v>523</v>
      </c>
      <c r="C739" s="120">
        <v>61.364289999999997</v>
      </c>
      <c r="D739" s="109"/>
      <c r="E739" s="105" t="s">
        <v>23</v>
      </c>
      <c r="F739" s="105" t="s">
        <v>1105</v>
      </c>
      <c r="G739" s="105"/>
      <c r="H739" s="105" t="s">
        <v>130</v>
      </c>
      <c r="I739" s="105" t="s">
        <v>526</v>
      </c>
    </row>
    <row r="740" spans="1:9" s="108" customFormat="1" ht="15.6">
      <c r="A740" s="105" t="s">
        <v>1527</v>
      </c>
      <c r="B740" s="105" t="s">
        <v>523</v>
      </c>
      <c r="C740" s="120">
        <v>105.24285999999999</v>
      </c>
      <c r="D740" s="109"/>
      <c r="E740" s="105" t="s">
        <v>23</v>
      </c>
      <c r="F740" s="105" t="s">
        <v>1105</v>
      </c>
      <c r="G740" s="105"/>
      <c r="H740" s="105" t="s">
        <v>130</v>
      </c>
      <c r="I740" s="105" t="s">
        <v>526</v>
      </c>
    </row>
    <row r="741" spans="1:9" ht="15.6">
      <c r="A741" s="17" t="s">
        <v>588</v>
      </c>
      <c r="B741" s="17" t="s">
        <v>528</v>
      </c>
      <c r="C741" s="68">
        <v>448.59466666666668</v>
      </c>
      <c r="D741" s="59">
        <v>0.3</v>
      </c>
      <c r="E741" s="17" t="s">
        <v>23</v>
      </c>
      <c r="F741" s="17" t="s">
        <v>531</v>
      </c>
      <c r="G741" s="17" t="s">
        <v>589</v>
      </c>
      <c r="H741" s="17" t="s">
        <v>130</v>
      </c>
      <c r="I741" s="17" t="s">
        <v>526</v>
      </c>
    </row>
    <row r="742" spans="1:9" s="108" customFormat="1" ht="15.6">
      <c r="A742" s="105" t="s">
        <v>1528</v>
      </c>
      <c r="B742" s="105" t="s">
        <v>523</v>
      </c>
      <c r="C742" s="120">
        <v>27.80143</v>
      </c>
      <c r="D742" s="109"/>
      <c r="E742" s="105" t="s">
        <v>23</v>
      </c>
      <c r="F742" s="105" t="s">
        <v>1105</v>
      </c>
      <c r="G742" s="105"/>
      <c r="H742" s="105" t="s">
        <v>130</v>
      </c>
      <c r="I742" s="105" t="s">
        <v>526</v>
      </c>
    </row>
    <row r="743" spans="1:9" s="108" customFormat="1" ht="15.6">
      <c r="A743" s="105" t="s">
        <v>1529</v>
      </c>
      <c r="B743" s="105" t="s">
        <v>523</v>
      </c>
      <c r="C743" s="120">
        <v>81.082859999999997</v>
      </c>
      <c r="D743" s="109"/>
      <c r="E743" s="105" t="s">
        <v>23</v>
      </c>
      <c r="F743" s="105" t="s">
        <v>1105</v>
      </c>
      <c r="G743" s="105"/>
      <c r="H743" s="105" t="s">
        <v>130</v>
      </c>
      <c r="I743" s="105" t="s">
        <v>526</v>
      </c>
    </row>
    <row r="744" spans="1:9" s="108" customFormat="1" ht="15.6">
      <c r="A744" s="105" t="s">
        <v>590</v>
      </c>
      <c r="B744" s="105" t="s">
        <v>523</v>
      </c>
      <c r="C744" s="120">
        <v>210.86286000000001</v>
      </c>
      <c r="D744" s="109"/>
      <c r="E744" s="105" t="s">
        <v>23</v>
      </c>
      <c r="F744" s="105" t="s">
        <v>1105</v>
      </c>
      <c r="G744" s="105"/>
      <c r="H744" s="105" t="s">
        <v>130</v>
      </c>
      <c r="I744" s="105" t="s">
        <v>526</v>
      </c>
    </row>
    <row r="745" spans="1:9" s="108" customFormat="1" ht="15.6">
      <c r="A745" s="105" t="s">
        <v>1530</v>
      </c>
      <c r="B745" s="105" t="s">
        <v>523</v>
      </c>
      <c r="C745" s="120">
        <v>89.028570000000002</v>
      </c>
      <c r="D745" s="109"/>
      <c r="E745" s="105" t="s">
        <v>23</v>
      </c>
      <c r="F745" s="105" t="s">
        <v>1105</v>
      </c>
      <c r="G745" s="105"/>
      <c r="H745" s="105" t="s">
        <v>130</v>
      </c>
      <c r="I745" s="105" t="s">
        <v>526</v>
      </c>
    </row>
    <row r="746" spans="1:9" ht="15.6">
      <c r="A746" s="17" t="s">
        <v>591</v>
      </c>
      <c r="B746" s="17" t="s">
        <v>528</v>
      </c>
      <c r="C746" s="68">
        <v>435.36533333333335</v>
      </c>
      <c r="D746" s="59">
        <v>0.3</v>
      </c>
      <c r="E746" s="17" t="s">
        <v>23</v>
      </c>
      <c r="F746" s="17" t="s">
        <v>531</v>
      </c>
      <c r="G746" s="17" t="s">
        <v>592</v>
      </c>
      <c r="H746" s="17" t="s">
        <v>130</v>
      </c>
      <c r="I746" s="17" t="s">
        <v>526</v>
      </c>
    </row>
    <row r="747" spans="1:9" ht="15.6">
      <c r="A747" s="17" t="s">
        <v>593</v>
      </c>
      <c r="B747" s="17" t="s">
        <v>528</v>
      </c>
      <c r="C747" s="68">
        <v>440.17600000000004</v>
      </c>
      <c r="D747" s="59">
        <v>0.3</v>
      </c>
      <c r="E747" s="17" t="s">
        <v>23</v>
      </c>
      <c r="F747" s="17" t="s">
        <v>531</v>
      </c>
      <c r="G747" s="17" t="s">
        <v>594</v>
      </c>
      <c r="H747" s="17" t="s">
        <v>130</v>
      </c>
      <c r="I747" s="17" t="s">
        <v>526</v>
      </c>
    </row>
    <row r="748" spans="1:9" s="108" customFormat="1" ht="15.6">
      <c r="A748" s="105" t="s">
        <v>1531</v>
      </c>
      <c r="B748" s="105" t="s">
        <v>523</v>
      </c>
      <c r="C748" s="120">
        <v>111.14570999999999</v>
      </c>
      <c r="D748" s="109"/>
      <c r="E748" s="105" t="s">
        <v>23</v>
      </c>
      <c r="F748" s="105" t="s">
        <v>1105</v>
      </c>
      <c r="G748" s="105"/>
      <c r="H748" s="105" t="s">
        <v>130</v>
      </c>
      <c r="I748" s="105" t="s">
        <v>526</v>
      </c>
    </row>
    <row r="749" spans="1:9" s="108" customFormat="1" ht="15.6">
      <c r="A749" s="105" t="s">
        <v>1532</v>
      </c>
      <c r="B749" s="105" t="s">
        <v>523</v>
      </c>
      <c r="C749" s="120">
        <v>91.928569999999993</v>
      </c>
      <c r="D749" s="109"/>
      <c r="E749" s="105" t="s">
        <v>23</v>
      </c>
      <c r="F749" s="105" t="s">
        <v>1105</v>
      </c>
      <c r="G749" s="105"/>
      <c r="H749" s="105" t="s">
        <v>130</v>
      </c>
      <c r="I749" s="105" t="s">
        <v>526</v>
      </c>
    </row>
    <row r="750" spans="1:9" s="108" customFormat="1" ht="15.6">
      <c r="A750" s="105" t="s">
        <v>1533</v>
      </c>
      <c r="B750" s="105" t="s">
        <v>523</v>
      </c>
      <c r="C750" s="120">
        <v>142.85713999999999</v>
      </c>
      <c r="D750" s="109"/>
      <c r="E750" s="105" t="s">
        <v>23</v>
      </c>
      <c r="F750" s="105" t="s">
        <v>1105</v>
      </c>
      <c r="G750" s="105"/>
      <c r="H750" s="105" t="s">
        <v>130</v>
      </c>
      <c r="I750" s="105" t="s">
        <v>526</v>
      </c>
    </row>
    <row r="751" spans="1:9" s="108" customFormat="1" ht="15.6">
      <c r="A751" s="105" t="s">
        <v>1534</v>
      </c>
      <c r="B751" s="105" t="s">
        <v>523</v>
      </c>
      <c r="C751" s="120">
        <v>115</v>
      </c>
      <c r="D751" s="109"/>
      <c r="E751" s="105" t="s">
        <v>23</v>
      </c>
      <c r="F751" s="105" t="s">
        <v>1105</v>
      </c>
      <c r="G751" s="105"/>
      <c r="H751" s="105" t="s">
        <v>130</v>
      </c>
      <c r="I751" s="105" t="s">
        <v>526</v>
      </c>
    </row>
    <row r="752" spans="1:9" s="108" customFormat="1" ht="15.6">
      <c r="A752" s="105" t="s">
        <v>1535</v>
      </c>
      <c r="B752" s="105" t="s">
        <v>523</v>
      </c>
      <c r="C752" s="120">
        <v>138.12857</v>
      </c>
      <c r="D752" s="109"/>
      <c r="E752" s="105" t="s">
        <v>23</v>
      </c>
      <c r="F752" s="105" t="s">
        <v>1105</v>
      </c>
      <c r="G752" s="105"/>
      <c r="H752" s="105" t="s">
        <v>130</v>
      </c>
      <c r="I752" s="105" t="s">
        <v>526</v>
      </c>
    </row>
    <row r="753" spans="1:9" s="108" customFormat="1" ht="15.6">
      <c r="A753" s="105" t="s">
        <v>1536</v>
      </c>
      <c r="B753" s="105" t="s">
        <v>523</v>
      </c>
      <c r="C753" s="120">
        <v>174.69713999999999</v>
      </c>
      <c r="D753" s="109"/>
      <c r="E753" s="105" t="s">
        <v>23</v>
      </c>
      <c r="F753" s="105" t="s">
        <v>1105</v>
      </c>
      <c r="G753" s="105"/>
      <c r="H753" s="105" t="s">
        <v>130</v>
      </c>
      <c r="I753" s="105" t="s">
        <v>526</v>
      </c>
    </row>
    <row r="754" spans="1:9" s="108" customFormat="1" ht="15.6">
      <c r="A754" s="105" t="s">
        <v>1537</v>
      </c>
      <c r="B754" s="105" t="s">
        <v>523</v>
      </c>
      <c r="C754" s="120">
        <v>114.15714</v>
      </c>
      <c r="D754" s="109"/>
      <c r="E754" s="105" t="s">
        <v>23</v>
      </c>
      <c r="F754" s="105" t="s">
        <v>1105</v>
      </c>
      <c r="G754" s="105"/>
      <c r="H754" s="105" t="s">
        <v>130</v>
      </c>
      <c r="I754" s="105" t="s">
        <v>526</v>
      </c>
    </row>
    <row r="755" spans="1:9" s="108" customFormat="1" ht="15.6">
      <c r="A755" s="105" t="s">
        <v>1538</v>
      </c>
      <c r="B755" s="105" t="s">
        <v>523</v>
      </c>
      <c r="C755" s="120">
        <v>144.27143000000001</v>
      </c>
      <c r="D755" s="109"/>
      <c r="E755" s="105" t="s">
        <v>23</v>
      </c>
      <c r="F755" s="105" t="s">
        <v>1105</v>
      </c>
      <c r="G755" s="105"/>
      <c r="H755" s="105" t="s">
        <v>130</v>
      </c>
      <c r="I755" s="105" t="s">
        <v>526</v>
      </c>
    </row>
    <row r="756" spans="1:9" ht="15.6">
      <c r="A756" s="17" t="s">
        <v>595</v>
      </c>
      <c r="B756" s="17" t="s">
        <v>523</v>
      </c>
      <c r="C756" s="68">
        <v>31.4</v>
      </c>
      <c r="D756" s="59">
        <v>0.3</v>
      </c>
      <c r="E756" s="17" t="s">
        <v>23</v>
      </c>
      <c r="F756" s="17" t="s">
        <v>524</v>
      </c>
      <c r="G756" s="17" t="s">
        <v>525</v>
      </c>
      <c r="H756" s="17" t="s">
        <v>130</v>
      </c>
      <c r="I756" s="17" t="s">
        <v>526</v>
      </c>
    </row>
    <row r="757" spans="1:9" ht="15.6">
      <c r="A757" s="17" t="s">
        <v>596</v>
      </c>
      <c r="B757" s="17" t="s">
        <v>523</v>
      </c>
      <c r="C757" s="68">
        <v>31.4</v>
      </c>
      <c r="D757" s="59">
        <v>0.3</v>
      </c>
      <c r="E757" s="17" t="s">
        <v>23</v>
      </c>
      <c r="F757" s="17" t="s">
        <v>524</v>
      </c>
      <c r="G757" s="17" t="s">
        <v>525</v>
      </c>
      <c r="H757" s="17" t="s">
        <v>130</v>
      </c>
      <c r="I757" s="17" t="s">
        <v>526</v>
      </c>
    </row>
    <row r="758" spans="1:9">
      <c r="A758" s="17" t="s">
        <v>597</v>
      </c>
      <c r="B758" s="17" t="s">
        <v>528</v>
      </c>
      <c r="C758" s="68">
        <v>294.68268316666666</v>
      </c>
      <c r="D758" s="57">
        <v>0.5</v>
      </c>
      <c r="E758" s="17" t="s">
        <v>23</v>
      </c>
      <c r="F758" s="17" t="s">
        <v>135</v>
      </c>
      <c r="G758" s="17"/>
      <c r="H758" s="17" t="s">
        <v>130</v>
      </c>
      <c r="I758" s="17" t="s">
        <v>526</v>
      </c>
    </row>
    <row r="759" spans="1:9" s="108" customFormat="1" ht="15.6">
      <c r="A759" s="105" t="s">
        <v>598</v>
      </c>
      <c r="B759" s="105" t="s">
        <v>523</v>
      </c>
      <c r="C759" s="120">
        <v>41.205710000000003</v>
      </c>
      <c r="D759" s="109"/>
      <c r="E759" s="105" t="s">
        <v>23</v>
      </c>
      <c r="F759" s="105" t="s">
        <v>1105</v>
      </c>
      <c r="G759" s="105"/>
      <c r="H759" s="105" t="s">
        <v>130</v>
      </c>
      <c r="I759" s="105" t="s">
        <v>526</v>
      </c>
    </row>
    <row r="760" spans="1:9">
      <c r="A760" s="17"/>
      <c r="B760" s="17"/>
      <c r="C760" s="17"/>
      <c r="D760" s="57"/>
      <c r="E760" s="17"/>
      <c r="F760" s="17"/>
      <c r="G760" s="17"/>
      <c r="H760" s="17"/>
      <c r="I760" s="17"/>
    </row>
    <row r="761" spans="1:9">
      <c r="A761" s="17" t="s">
        <v>599</v>
      </c>
      <c r="B761" s="17"/>
      <c r="C761" s="17"/>
      <c r="D761" s="57"/>
      <c r="E761" s="17"/>
      <c r="F761" s="17"/>
      <c r="G761" s="17"/>
      <c r="H761" s="17"/>
      <c r="I761" s="17"/>
    </row>
    <row r="762" spans="1:9" ht="15.6">
      <c r="A762" s="17" t="s">
        <v>600</v>
      </c>
      <c r="B762" s="17" t="s">
        <v>452</v>
      </c>
      <c r="C762" s="58">
        <v>28.443999999999999</v>
      </c>
      <c r="D762" s="59">
        <v>0.3</v>
      </c>
      <c r="E762" s="17" t="s">
        <v>24</v>
      </c>
      <c r="F762" s="17" t="s">
        <v>140</v>
      </c>
      <c r="G762" s="17" t="s">
        <v>601</v>
      </c>
      <c r="H762" s="17" t="s">
        <v>130</v>
      </c>
      <c r="I762" s="17" t="s">
        <v>602</v>
      </c>
    </row>
    <row r="763" spans="1:9" ht="15.6">
      <c r="A763" s="17" t="s">
        <v>603</v>
      </c>
      <c r="B763" s="17" t="s">
        <v>452</v>
      </c>
      <c r="C763" s="58">
        <v>3.7601</v>
      </c>
      <c r="D763" s="59">
        <v>0.3</v>
      </c>
      <c r="E763" s="17" t="s">
        <v>24</v>
      </c>
      <c r="F763" s="17" t="s">
        <v>140</v>
      </c>
      <c r="G763" s="17" t="s">
        <v>604</v>
      </c>
      <c r="H763" s="17" t="s">
        <v>130</v>
      </c>
      <c r="I763" s="17" t="s">
        <v>602</v>
      </c>
    </row>
    <row r="764" spans="1:9" ht="15.6">
      <c r="A764" s="17" t="s">
        <v>605</v>
      </c>
      <c r="B764" s="17" t="s">
        <v>74</v>
      </c>
      <c r="C764" s="58">
        <v>8.9192999999999998</v>
      </c>
      <c r="D764" s="59">
        <v>0.3</v>
      </c>
      <c r="E764" s="17" t="s">
        <v>24</v>
      </c>
      <c r="F764" s="17" t="s">
        <v>140</v>
      </c>
      <c r="G764" s="17"/>
      <c r="H764" s="17" t="s">
        <v>130</v>
      </c>
      <c r="I764" s="17" t="s">
        <v>602</v>
      </c>
    </row>
    <row r="765" spans="1:9" ht="15.6">
      <c r="A765" s="17" t="s">
        <v>606</v>
      </c>
      <c r="B765" s="17" t="s">
        <v>69</v>
      </c>
      <c r="C765" s="58">
        <v>2.4445999999999999</v>
      </c>
      <c r="D765" s="59">
        <v>0.3</v>
      </c>
      <c r="E765" s="17" t="s">
        <v>24</v>
      </c>
      <c r="F765" s="17" t="s">
        <v>140</v>
      </c>
      <c r="G765" s="17" t="s">
        <v>607</v>
      </c>
      <c r="H765" s="17" t="s">
        <v>130</v>
      </c>
      <c r="I765" s="17" t="s">
        <v>602</v>
      </c>
    </row>
    <row r="766" spans="1:9" ht="15.6">
      <c r="A766" s="17" t="s">
        <v>608</v>
      </c>
      <c r="B766" s="17" t="s">
        <v>74</v>
      </c>
      <c r="C766" s="58">
        <v>153.97</v>
      </c>
      <c r="D766" s="59">
        <v>0.3</v>
      </c>
      <c r="E766" s="17" t="s">
        <v>24</v>
      </c>
      <c r="F766" s="17" t="s">
        <v>140</v>
      </c>
      <c r="G766" s="17" t="s">
        <v>609</v>
      </c>
      <c r="H766" s="17" t="s">
        <v>130</v>
      </c>
      <c r="I766" s="17" t="s">
        <v>602</v>
      </c>
    </row>
    <row r="767" spans="1:9" ht="15.6">
      <c r="A767" s="17" t="s">
        <v>610</v>
      </c>
      <c r="B767" s="17" t="s">
        <v>74</v>
      </c>
      <c r="C767" s="58">
        <v>251.1</v>
      </c>
      <c r="D767" s="59">
        <v>0.3</v>
      </c>
      <c r="E767" s="17" t="s">
        <v>24</v>
      </c>
      <c r="F767" s="17" t="s">
        <v>140</v>
      </c>
      <c r="G767" s="17" t="s">
        <v>611</v>
      </c>
      <c r="H767" s="17" t="s">
        <v>130</v>
      </c>
      <c r="I767" s="17" t="s">
        <v>602</v>
      </c>
    </row>
    <row r="768" spans="1:9" ht="15.6">
      <c r="A768" s="17" t="s">
        <v>612</v>
      </c>
      <c r="B768" s="17" t="s">
        <v>59</v>
      </c>
      <c r="C768" s="58">
        <v>285.16000000000003</v>
      </c>
      <c r="D768" s="59">
        <v>0.3</v>
      </c>
      <c r="E768" s="17" t="s">
        <v>24</v>
      </c>
      <c r="F768" s="17" t="s">
        <v>140</v>
      </c>
      <c r="G768" s="17" t="s">
        <v>613</v>
      </c>
      <c r="H768" s="17" t="s">
        <v>130</v>
      </c>
      <c r="I768" s="17" t="s">
        <v>602</v>
      </c>
    </row>
    <row r="769" spans="1:9" ht="15.6">
      <c r="A769" s="17" t="s">
        <v>614</v>
      </c>
      <c r="B769" s="17" t="s">
        <v>74</v>
      </c>
      <c r="C769" s="58">
        <v>56.470999999999997</v>
      </c>
      <c r="D769" s="59">
        <v>0.3</v>
      </c>
      <c r="E769" s="17" t="s">
        <v>24</v>
      </c>
      <c r="F769" s="17" t="s">
        <v>140</v>
      </c>
      <c r="G769" s="17" t="s">
        <v>615</v>
      </c>
      <c r="H769" s="17" t="s">
        <v>130</v>
      </c>
      <c r="I769" s="17" t="s">
        <v>602</v>
      </c>
    </row>
    <row r="770" spans="1:9" ht="15.6">
      <c r="A770" s="17" t="s">
        <v>616</v>
      </c>
      <c r="B770" s="17" t="s">
        <v>59</v>
      </c>
      <c r="C770" s="58">
        <v>102.75</v>
      </c>
      <c r="D770" s="59">
        <v>0.3</v>
      </c>
      <c r="E770" s="17" t="s">
        <v>24</v>
      </c>
      <c r="F770" s="17" t="s">
        <v>140</v>
      </c>
      <c r="G770" s="17" t="s">
        <v>617</v>
      </c>
      <c r="H770" s="17" t="s">
        <v>130</v>
      </c>
      <c r="I770" s="17" t="s">
        <v>602</v>
      </c>
    </row>
    <row r="771" spans="1:9" ht="15.6">
      <c r="A771" s="17" t="s">
        <v>618</v>
      </c>
      <c r="B771" s="17" t="s">
        <v>74</v>
      </c>
      <c r="C771" s="58">
        <v>1009.7</v>
      </c>
      <c r="D771" s="59">
        <v>0.3</v>
      </c>
      <c r="E771" s="17" t="s">
        <v>24</v>
      </c>
      <c r="F771" s="17" t="s">
        <v>140</v>
      </c>
      <c r="G771" s="17"/>
      <c r="H771" s="17" t="s">
        <v>130</v>
      </c>
      <c r="I771" s="17" t="s">
        <v>602</v>
      </c>
    </row>
    <row r="772" spans="1:9" ht="15.6">
      <c r="A772" s="17" t="s">
        <v>619</v>
      </c>
      <c r="B772" s="17" t="s">
        <v>74</v>
      </c>
      <c r="C772" s="58">
        <v>504.87</v>
      </c>
      <c r="D772" s="59">
        <v>0.3</v>
      </c>
      <c r="E772" s="17" t="s">
        <v>24</v>
      </c>
      <c r="F772" s="17" t="s">
        <v>140</v>
      </c>
      <c r="G772" s="17"/>
      <c r="H772" s="17" t="s">
        <v>130</v>
      </c>
      <c r="I772" s="17" t="s">
        <v>602</v>
      </c>
    </row>
    <row r="773" spans="1:9" ht="15.6">
      <c r="A773" s="17" t="s">
        <v>620</v>
      </c>
      <c r="B773" s="17" t="s">
        <v>74</v>
      </c>
      <c r="C773" s="58">
        <v>733.59</v>
      </c>
      <c r="D773" s="59">
        <v>0.3</v>
      </c>
      <c r="E773" s="17" t="s">
        <v>24</v>
      </c>
      <c r="F773" s="17" t="s">
        <v>140</v>
      </c>
      <c r="G773" s="17"/>
      <c r="H773" s="17" t="s">
        <v>130</v>
      </c>
      <c r="I773" s="17" t="s">
        <v>602</v>
      </c>
    </row>
    <row r="774" spans="1:9" ht="15.6">
      <c r="A774" s="17" t="s">
        <v>621</v>
      </c>
      <c r="B774" s="17" t="s">
        <v>74</v>
      </c>
      <c r="C774" s="58">
        <v>48.912999999999997</v>
      </c>
      <c r="D774" s="59">
        <v>0.3</v>
      </c>
      <c r="E774" s="17" t="s">
        <v>24</v>
      </c>
      <c r="F774" s="17" t="s">
        <v>140</v>
      </c>
      <c r="G774" s="17"/>
      <c r="H774" s="17" t="s">
        <v>130</v>
      </c>
      <c r="I774" s="17" t="s">
        <v>602</v>
      </c>
    </row>
    <row r="775" spans="1:9" ht="15.6">
      <c r="A775" s="17" t="s">
        <v>622</v>
      </c>
      <c r="B775" s="17" t="s">
        <v>74</v>
      </c>
      <c r="C775" s="58">
        <v>274.86</v>
      </c>
      <c r="D775" s="59">
        <v>0.3</v>
      </c>
      <c r="E775" s="17" t="s">
        <v>24</v>
      </c>
      <c r="F775" s="17" t="s">
        <v>140</v>
      </c>
      <c r="G775" s="17"/>
      <c r="H775" s="17" t="s">
        <v>130</v>
      </c>
      <c r="I775" s="17" t="s">
        <v>602</v>
      </c>
    </row>
    <row r="776" spans="1:9" ht="15.6">
      <c r="A776" s="17" t="s">
        <v>623</v>
      </c>
      <c r="B776" s="17" t="s">
        <v>74</v>
      </c>
      <c r="C776" s="58">
        <v>167.31</v>
      </c>
      <c r="D776" s="59">
        <v>0.3</v>
      </c>
      <c r="E776" s="17" t="s">
        <v>24</v>
      </c>
      <c r="F776" s="17" t="s">
        <v>140</v>
      </c>
      <c r="G776" s="17"/>
      <c r="H776" s="17" t="s">
        <v>130</v>
      </c>
      <c r="I776" s="17" t="s">
        <v>602</v>
      </c>
    </row>
    <row r="777" spans="1:9" ht="15.6">
      <c r="A777" s="17" t="s">
        <v>624</v>
      </c>
      <c r="B777" s="17" t="s">
        <v>452</v>
      </c>
      <c r="C777" s="58">
        <v>12.135</v>
      </c>
      <c r="D777" s="59">
        <v>0.3</v>
      </c>
      <c r="E777" s="17" t="s">
        <v>24</v>
      </c>
      <c r="F777" s="17" t="s">
        <v>140</v>
      </c>
      <c r="G777" s="17" t="s">
        <v>625</v>
      </c>
      <c r="H777" s="17" t="s">
        <v>130</v>
      </c>
      <c r="I777" s="17" t="s">
        <v>602</v>
      </c>
    </row>
    <row r="778" spans="1:9" ht="15.6">
      <c r="A778" s="17" t="s">
        <v>626</v>
      </c>
      <c r="B778" s="17" t="s">
        <v>74</v>
      </c>
      <c r="C778" s="58">
        <v>5.8533999999999997</v>
      </c>
      <c r="D778" s="59">
        <v>0.3</v>
      </c>
      <c r="E778" s="17" t="s">
        <v>24</v>
      </c>
      <c r="F778" s="17" t="s">
        <v>140</v>
      </c>
      <c r="G778" s="17"/>
      <c r="H778" s="17" t="s">
        <v>130</v>
      </c>
      <c r="I778" s="17" t="s">
        <v>602</v>
      </c>
    </row>
    <row r="779" spans="1:9" ht="15.6">
      <c r="A779" s="17" t="s">
        <v>627</v>
      </c>
      <c r="B779" s="17" t="s">
        <v>74</v>
      </c>
      <c r="C779" s="58">
        <v>58.981999999999999</v>
      </c>
      <c r="D779" s="59">
        <v>0.3</v>
      </c>
      <c r="E779" s="17" t="s">
        <v>24</v>
      </c>
      <c r="F779" s="17" t="s">
        <v>140</v>
      </c>
      <c r="G779" s="17" t="s">
        <v>628</v>
      </c>
      <c r="H779" s="17" t="s">
        <v>130</v>
      </c>
      <c r="I779" s="17" t="s">
        <v>602</v>
      </c>
    </row>
    <row r="780" spans="1:9" ht="15.6">
      <c r="A780" s="17" t="s">
        <v>629</v>
      </c>
      <c r="B780" s="17" t="s">
        <v>452</v>
      </c>
      <c r="C780" s="58">
        <v>17.109000000000002</v>
      </c>
      <c r="D780" s="59">
        <v>0.3</v>
      </c>
      <c r="E780" s="17" t="s">
        <v>24</v>
      </c>
      <c r="F780" s="17" t="s">
        <v>140</v>
      </c>
      <c r="G780" s="17" t="s">
        <v>630</v>
      </c>
      <c r="H780" s="17" t="s">
        <v>130</v>
      </c>
      <c r="I780" s="17" t="s">
        <v>602</v>
      </c>
    </row>
    <row r="781" spans="1:9" ht="15.6">
      <c r="A781" s="17" t="s">
        <v>631</v>
      </c>
      <c r="B781" s="17" t="s">
        <v>74</v>
      </c>
      <c r="C781" s="58">
        <v>228.74</v>
      </c>
      <c r="D781" s="59">
        <v>0.3</v>
      </c>
      <c r="E781" s="17" t="s">
        <v>24</v>
      </c>
      <c r="F781" s="17" t="s">
        <v>140</v>
      </c>
      <c r="G781" s="17"/>
      <c r="H781" s="17" t="s">
        <v>130</v>
      </c>
      <c r="I781" s="17" t="s">
        <v>602</v>
      </c>
    </row>
    <row r="782" spans="1:9" s="108" customFormat="1">
      <c r="A782" s="105" t="s">
        <v>632</v>
      </c>
      <c r="B782" s="105" t="s">
        <v>633</v>
      </c>
      <c r="C782" s="106">
        <v>2935</v>
      </c>
      <c r="D782" s="107">
        <v>0.5</v>
      </c>
      <c r="E782" s="105" t="s">
        <v>24</v>
      </c>
      <c r="F782" s="105" t="s">
        <v>1201</v>
      </c>
      <c r="G782" s="105"/>
      <c r="H782" s="105" t="s">
        <v>130</v>
      </c>
      <c r="I782" s="105" t="s">
        <v>602</v>
      </c>
    </row>
    <row r="783" spans="1:9">
      <c r="A783" s="17" t="s">
        <v>634</v>
      </c>
      <c r="B783" s="17" t="s">
        <v>633</v>
      </c>
      <c r="C783" s="58">
        <v>1283.3333333333333</v>
      </c>
      <c r="D783" s="57">
        <v>0.5</v>
      </c>
      <c r="E783" s="17" t="s">
        <v>24</v>
      </c>
      <c r="F783" s="17" t="s">
        <v>167</v>
      </c>
      <c r="G783" s="17"/>
      <c r="H783" s="17" t="s">
        <v>130</v>
      </c>
      <c r="I783" s="17" t="s">
        <v>602</v>
      </c>
    </row>
    <row r="784" spans="1:9" s="108" customFormat="1">
      <c r="A784" s="105" t="s">
        <v>1539</v>
      </c>
      <c r="B784" s="105" t="s">
        <v>633</v>
      </c>
      <c r="C784" s="106">
        <v>88.2</v>
      </c>
      <c r="D784" s="107">
        <v>0.5</v>
      </c>
      <c r="E784" s="105" t="s">
        <v>24</v>
      </c>
      <c r="F784" s="105" t="s">
        <v>1201</v>
      </c>
      <c r="G784" s="105"/>
      <c r="H784" s="105" t="s">
        <v>130</v>
      </c>
      <c r="I784" s="105" t="s">
        <v>602</v>
      </c>
    </row>
    <row r="785" spans="1:9" s="108" customFormat="1">
      <c r="A785" s="105" t="s">
        <v>1540</v>
      </c>
      <c r="B785" s="105" t="s">
        <v>633</v>
      </c>
      <c r="C785" s="106">
        <v>197</v>
      </c>
      <c r="D785" s="107">
        <v>0.5</v>
      </c>
      <c r="E785" s="105" t="s">
        <v>24</v>
      </c>
      <c r="F785" s="105" t="s">
        <v>1201</v>
      </c>
      <c r="G785" s="105"/>
      <c r="H785" s="105" t="s">
        <v>130</v>
      </c>
      <c r="I785" s="105" t="s">
        <v>602</v>
      </c>
    </row>
    <row r="786" spans="1:9" s="108" customFormat="1">
      <c r="A786" s="105" t="s">
        <v>1541</v>
      </c>
      <c r="B786" s="105" t="s">
        <v>633</v>
      </c>
      <c r="C786" s="106">
        <v>87.9</v>
      </c>
      <c r="D786" s="107">
        <v>0.5</v>
      </c>
      <c r="E786" s="105" t="s">
        <v>24</v>
      </c>
      <c r="F786" s="105" t="s">
        <v>1201</v>
      </c>
      <c r="G786" s="105"/>
      <c r="H786" s="105" t="s">
        <v>130</v>
      </c>
      <c r="I786" s="105" t="s">
        <v>602</v>
      </c>
    </row>
    <row r="787" spans="1:9" s="108" customFormat="1">
      <c r="A787" s="105" t="s">
        <v>635</v>
      </c>
      <c r="B787" s="105" t="s">
        <v>636</v>
      </c>
      <c r="C787" s="106">
        <v>917</v>
      </c>
      <c r="D787" s="107">
        <v>0.5</v>
      </c>
      <c r="E787" s="105" t="s">
        <v>24</v>
      </c>
      <c r="F787" s="105" t="s">
        <v>1201</v>
      </c>
      <c r="G787" s="105"/>
      <c r="H787" s="105" t="s">
        <v>130</v>
      </c>
      <c r="I787" s="105" t="s">
        <v>602</v>
      </c>
    </row>
    <row r="788" spans="1:9">
      <c r="A788" s="17" t="s">
        <v>637</v>
      </c>
      <c r="B788" s="17" t="s">
        <v>633</v>
      </c>
      <c r="C788" s="58">
        <v>678.33</v>
      </c>
      <c r="D788" s="57">
        <v>0.5</v>
      </c>
      <c r="E788" s="17" t="s">
        <v>24</v>
      </c>
      <c r="F788" s="17" t="s">
        <v>167</v>
      </c>
      <c r="G788" s="17"/>
      <c r="H788" s="17" t="s">
        <v>130</v>
      </c>
      <c r="I788" s="17" t="s">
        <v>602</v>
      </c>
    </row>
    <row r="789" spans="1:9" s="108" customFormat="1">
      <c r="A789" s="105" t="s">
        <v>1542</v>
      </c>
      <c r="B789" s="105" t="s">
        <v>633</v>
      </c>
      <c r="C789" s="106">
        <v>169</v>
      </c>
      <c r="D789" s="107">
        <v>0.5</v>
      </c>
      <c r="E789" s="105" t="s">
        <v>24</v>
      </c>
      <c r="F789" s="105" t="s">
        <v>1201</v>
      </c>
      <c r="G789" s="105"/>
      <c r="H789" s="105" t="s">
        <v>130</v>
      </c>
      <c r="I789" s="105" t="s">
        <v>602</v>
      </c>
    </row>
    <row r="790" spans="1:9" s="108" customFormat="1">
      <c r="A790" s="105" t="s">
        <v>1543</v>
      </c>
      <c r="B790" s="105" t="s">
        <v>633</v>
      </c>
      <c r="C790" s="106">
        <v>296</v>
      </c>
      <c r="D790" s="107">
        <v>0.5</v>
      </c>
      <c r="E790" s="105" t="s">
        <v>24</v>
      </c>
      <c r="F790" s="105" t="s">
        <v>1201</v>
      </c>
      <c r="G790" s="105"/>
      <c r="H790" s="105" t="s">
        <v>130</v>
      </c>
      <c r="I790" s="105" t="s">
        <v>602</v>
      </c>
    </row>
    <row r="791" spans="1:9" s="108" customFormat="1">
      <c r="A791" s="105" t="s">
        <v>1544</v>
      </c>
      <c r="B791" s="105" t="s">
        <v>633</v>
      </c>
      <c r="C791" s="106">
        <v>156</v>
      </c>
      <c r="D791" s="107">
        <v>0.5</v>
      </c>
      <c r="E791" s="105" t="s">
        <v>24</v>
      </c>
      <c r="F791" s="105" t="s">
        <v>1201</v>
      </c>
      <c r="G791" s="105"/>
      <c r="H791" s="105" t="s">
        <v>130</v>
      </c>
      <c r="I791" s="105" t="s">
        <v>602</v>
      </c>
    </row>
    <row r="792" spans="1:9" s="108" customFormat="1">
      <c r="A792" s="105" t="s">
        <v>638</v>
      </c>
      <c r="B792" s="105" t="s">
        <v>55</v>
      </c>
      <c r="C792" s="106">
        <v>1833</v>
      </c>
      <c r="D792" s="107">
        <v>0.5</v>
      </c>
      <c r="E792" s="105" t="s">
        <v>24</v>
      </c>
      <c r="F792" s="105" t="s">
        <v>1201</v>
      </c>
      <c r="G792" s="105"/>
      <c r="H792" s="105" t="s">
        <v>130</v>
      </c>
      <c r="I792" s="105" t="s">
        <v>602</v>
      </c>
    </row>
    <row r="793" spans="1:9" ht="15.6">
      <c r="A793" s="17" t="s">
        <v>639</v>
      </c>
      <c r="B793" s="17" t="s">
        <v>74</v>
      </c>
      <c r="C793" s="58">
        <v>25.911999999999999</v>
      </c>
      <c r="D793" s="59">
        <v>0.3</v>
      </c>
      <c r="E793" s="17" t="s">
        <v>24</v>
      </c>
      <c r="F793" s="17" t="s">
        <v>140</v>
      </c>
      <c r="G793" s="17" t="s">
        <v>640</v>
      </c>
      <c r="H793" s="17" t="s">
        <v>130</v>
      </c>
      <c r="I793" s="17" t="s">
        <v>602</v>
      </c>
    </row>
    <row r="794" spans="1:9" ht="15.6">
      <c r="A794" s="17" t="s">
        <v>641</v>
      </c>
      <c r="B794" s="17" t="s">
        <v>74</v>
      </c>
      <c r="C794" s="58">
        <v>11.603999999999999</v>
      </c>
      <c r="D794" s="59">
        <v>0.3</v>
      </c>
      <c r="E794" s="17" t="s">
        <v>24</v>
      </c>
      <c r="F794" s="17" t="s">
        <v>140</v>
      </c>
      <c r="G794" s="17"/>
      <c r="H794" s="17" t="s">
        <v>130</v>
      </c>
      <c r="I794" s="17" t="s">
        <v>602</v>
      </c>
    </row>
    <row r="795" spans="1:9" ht="15.6">
      <c r="A795" s="17"/>
      <c r="B795" s="17"/>
      <c r="C795" s="17"/>
      <c r="D795" s="59">
        <v>0.3</v>
      </c>
      <c r="E795" s="17" t="s">
        <v>24</v>
      </c>
      <c r="F795" s="17"/>
      <c r="G795" s="17"/>
      <c r="H795" s="17"/>
      <c r="I795" s="17"/>
    </row>
    <row r="796" spans="1:9" ht="15.6">
      <c r="A796" s="17" t="s">
        <v>33</v>
      </c>
      <c r="B796" s="17"/>
      <c r="C796" s="17"/>
      <c r="D796" s="59">
        <v>0.3</v>
      </c>
      <c r="E796" s="17" t="s">
        <v>24</v>
      </c>
      <c r="F796" s="17"/>
      <c r="G796" s="17"/>
      <c r="H796" s="17"/>
      <c r="I796" s="17"/>
    </row>
    <row r="797" spans="1:9" s="108" customFormat="1">
      <c r="A797" s="105" t="s">
        <v>1545</v>
      </c>
      <c r="B797" s="105" t="s">
        <v>31</v>
      </c>
      <c r="C797" s="106">
        <v>700</v>
      </c>
      <c r="D797" s="107">
        <v>0.8</v>
      </c>
      <c r="E797" s="105" t="s">
        <v>24</v>
      </c>
      <c r="F797" s="105" t="s">
        <v>1201</v>
      </c>
      <c r="G797" s="105"/>
      <c r="H797" s="105" t="s">
        <v>130</v>
      </c>
      <c r="I797" s="105" t="s">
        <v>644</v>
      </c>
    </row>
    <row r="798" spans="1:9" s="108" customFormat="1">
      <c r="A798" s="105" t="s">
        <v>1546</v>
      </c>
      <c r="B798" s="105" t="s">
        <v>31</v>
      </c>
      <c r="C798" s="106">
        <v>600</v>
      </c>
      <c r="D798" s="107">
        <v>0.8</v>
      </c>
      <c r="E798" s="105" t="s">
        <v>24</v>
      </c>
      <c r="F798" s="105" t="s">
        <v>1201</v>
      </c>
      <c r="G798" s="105"/>
      <c r="H798" s="105" t="s">
        <v>130</v>
      </c>
      <c r="I798" s="105" t="s">
        <v>644</v>
      </c>
    </row>
    <row r="799" spans="1:9" s="108" customFormat="1">
      <c r="A799" s="105" t="s">
        <v>1547</v>
      </c>
      <c r="B799" s="105" t="s">
        <v>31</v>
      </c>
      <c r="C799" s="106">
        <v>400</v>
      </c>
      <c r="D799" s="107">
        <v>0.8</v>
      </c>
      <c r="E799" s="105" t="s">
        <v>24</v>
      </c>
      <c r="F799" s="105" t="s">
        <v>1201</v>
      </c>
      <c r="G799" s="105"/>
      <c r="H799" s="105" t="s">
        <v>130</v>
      </c>
      <c r="I799" s="105" t="s">
        <v>644</v>
      </c>
    </row>
    <row r="800" spans="1:9" s="108" customFormat="1" ht="15.6">
      <c r="A800" s="105" t="s">
        <v>1548</v>
      </c>
      <c r="B800" s="105" t="s">
        <v>31</v>
      </c>
      <c r="C800" s="121">
        <v>1190</v>
      </c>
      <c r="D800" s="109">
        <v>0.8</v>
      </c>
      <c r="E800" s="114" t="s">
        <v>24</v>
      </c>
      <c r="F800" s="105" t="s">
        <v>1201</v>
      </c>
      <c r="G800" s="114"/>
      <c r="H800" s="105" t="s">
        <v>130</v>
      </c>
      <c r="I800" s="105" t="s">
        <v>644</v>
      </c>
    </row>
    <row r="801" spans="1:9" s="108" customFormat="1">
      <c r="A801" s="105" t="s">
        <v>1549</v>
      </c>
      <c r="B801" s="105" t="s">
        <v>31</v>
      </c>
      <c r="C801" s="106">
        <v>590</v>
      </c>
      <c r="D801" s="107">
        <v>0.8</v>
      </c>
      <c r="E801" s="105" t="s">
        <v>24</v>
      </c>
      <c r="F801" s="105" t="s">
        <v>1201</v>
      </c>
      <c r="G801" s="105"/>
      <c r="H801" s="105" t="s">
        <v>130</v>
      </c>
      <c r="I801" s="105" t="s">
        <v>644</v>
      </c>
    </row>
    <row r="802" spans="1:9" s="108" customFormat="1">
      <c r="A802" s="105" t="s">
        <v>1550</v>
      </c>
      <c r="B802" s="105" t="s">
        <v>31</v>
      </c>
      <c r="C802" s="106">
        <v>560</v>
      </c>
      <c r="D802" s="107">
        <v>0.8</v>
      </c>
      <c r="E802" s="105" t="s">
        <v>24</v>
      </c>
      <c r="F802" s="105" t="s">
        <v>1201</v>
      </c>
      <c r="G802" s="105"/>
      <c r="H802" s="105" t="s">
        <v>130</v>
      </c>
      <c r="I802" s="105" t="s">
        <v>644</v>
      </c>
    </row>
    <row r="803" spans="1:9">
      <c r="A803" s="17" t="s">
        <v>642</v>
      </c>
      <c r="B803" s="17" t="s">
        <v>31</v>
      </c>
      <c r="C803" s="58">
        <v>110</v>
      </c>
      <c r="D803" s="57">
        <v>0.5</v>
      </c>
      <c r="E803" s="17" t="s">
        <v>24</v>
      </c>
      <c r="F803" s="17" t="s">
        <v>643</v>
      </c>
      <c r="G803" s="17"/>
      <c r="H803" s="17" t="s">
        <v>130</v>
      </c>
      <c r="I803" s="17" t="s">
        <v>644</v>
      </c>
    </row>
    <row r="804" spans="1:9">
      <c r="A804" s="17" t="s">
        <v>645</v>
      </c>
      <c r="B804" s="17" t="s">
        <v>31</v>
      </c>
      <c r="C804" s="58">
        <v>37</v>
      </c>
      <c r="D804" s="57">
        <v>0.5</v>
      </c>
      <c r="E804" s="17" t="s">
        <v>24</v>
      </c>
      <c r="F804" s="17" t="s">
        <v>643</v>
      </c>
      <c r="G804" s="17"/>
      <c r="H804" s="17" t="s">
        <v>130</v>
      </c>
      <c r="I804" s="17" t="s">
        <v>644</v>
      </c>
    </row>
    <row r="805" spans="1:9">
      <c r="A805" s="17" t="s">
        <v>34</v>
      </c>
      <c r="B805" s="17" t="s">
        <v>31</v>
      </c>
      <c r="C805" s="58">
        <v>49.744943596961598</v>
      </c>
      <c r="D805" s="57">
        <v>0.3</v>
      </c>
      <c r="E805" s="17" t="s">
        <v>24</v>
      </c>
      <c r="F805" s="17" t="s">
        <v>646</v>
      </c>
      <c r="G805" s="17" t="s">
        <v>647</v>
      </c>
      <c r="H805" s="17" t="s">
        <v>130</v>
      </c>
      <c r="I805" s="17" t="s">
        <v>644</v>
      </c>
    </row>
    <row r="806" spans="1:9" ht="15.6">
      <c r="A806" s="17" t="s">
        <v>648</v>
      </c>
      <c r="B806" s="17" t="s">
        <v>649</v>
      </c>
      <c r="C806" s="45">
        <v>2370</v>
      </c>
      <c r="D806" s="59">
        <v>0.3</v>
      </c>
      <c r="E806" s="44" t="s">
        <v>24</v>
      </c>
      <c r="F806" s="44" t="s">
        <v>276</v>
      </c>
      <c r="G806" s="44"/>
      <c r="H806" s="17" t="s">
        <v>130</v>
      </c>
      <c r="I806" s="17" t="s">
        <v>644</v>
      </c>
    </row>
    <row r="807" spans="1:9">
      <c r="A807" s="17"/>
      <c r="B807" s="17"/>
      <c r="C807" s="17"/>
      <c r="D807" s="57"/>
      <c r="E807" s="17"/>
      <c r="F807" s="17"/>
      <c r="G807" s="17"/>
      <c r="H807" s="17"/>
      <c r="I807" s="17"/>
    </row>
    <row r="808" spans="1:9">
      <c r="A808" s="67" t="s">
        <v>650</v>
      </c>
      <c r="B808" s="17"/>
      <c r="C808" s="17"/>
      <c r="D808" s="57"/>
      <c r="E808" s="17" t="s">
        <v>25</v>
      </c>
      <c r="F808" s="17"/>
      <c r="G808" s="17"/>
      <c r="H808" s="17"/>
      <c r="I808" s="17"/>
    </row>
    <row r="809" spans="1:9">
      <c r="A809" s="17" t="s">
        <v>1551</v>
      </c>
      <c r="B809" s="17" t="s">
        <v>651</v>
      </c>
      <c r="C809" s="58">
        <v>3.9992569999999998E-2</v>
      </c>
      <c r="D809" s="57">
        <v>0.2</v>
      </c>
      <c r="E809" s="17" t="s">
        <v>25</v>
      </c>
      <c r="F809" s="17" t="s">
        <v>643</v>
      </c>
      <c r="G809" s="17"/>
      <c r="H809" s="17" t="s">
        <v>130</v>
      </c>
      <c r="I809" s="17" t="s">
        <v>644</v>
      </c>
    </row>
    <row r="810" spans="1:9">
      <c r="A810" s="17" t="s">
        <v>652</v>
      </c>
      <c r="B810" s="17" t="s">
        <v>651</v>
      </c>
      <c r="C810" s="58">
        <v>3.672918E-2</v>
      </c>
      <c r="D810" s="57">
        <v>0.6</v>
      </c>
      <c r="E810" s="17" t="s">
        <v>25</v>
      </c>
      <c r="F810" s="17" t="s">
        <v>643</v>
      </c>
      <c r="G810" s="17"/>
      <c r="H810" s="17" t="s">
        <v>130</v>
      </c>
      <c r="I810" s="17" t="s">
        <v>644</v>
      </c>
    </row>
    <row r="811" spans="1:9">
      <c r="A811" s="17" t="s">
        <v>653</v>
      </c>
      <c r="B811" s="17" t="s">
        <v>654</v>
      </c>
      <c r="C811" s="17">
        <v>7.9162920000000003E-4</v>
      </c>
      <c r="D811" s="57">
        <v>0.6</v>
      </c>
      <c r="E811" s="17" t="s">
        <v>25</v>
      </c>
      <c r="F811" s="17" t="s">
        <v>655</v>
      </c>
      <c r="G811" s="17"/>
      <c r="H811" s="17" t="s">
        <v>130</v>
      </c>
      <c r="I811" s="17" t="s">
        <v>644</v>
      </c>
    </row>
    <row r="812" spans="1:9">
      <c r="A812" s="17" t="s">
        <v>656</v>
      </c>
      <c r="B812" s="17" t="s">
        <v>657</v>
      </c>
      <c r="C812" s="17">
        <v>2.8527146100000003E-3</v>
      </c>
      <c r="D812" s="57">
        <v>0.6</v>
      </c>
      <c r="E812" s="17" t="s">
        <v>25</v>
      </c>
      <c r="F812" s="17" t="s">
        <v>655</v>
      </c>
      <c r="G812" s="17"/>
      <c r="H812" s="17" t="s">
        <v>130</v>
      </c>
      <c r="I812" s="17" t="s">
        <v>644</v>
      </c>
    </row>
    <row r="813" spans="1:9">
      <c r="A813" s="17" t="s">
        <v>658</v>
      </c>
      <c r="B813" s="17" t="s">
        <v>654</v>
      </c>
      <c r="C813" s="17">
        <v>4.9211651000000004E-4</v>
      </c>
      <c r="D813" s="57">
        <v>0.6</v>
      </c>
      <c r="E813" s="17" t="s">
        <v>25</v>
      </c>
      <c r="F813" s="17" t="s">
        <v>655</v>
      </c>
      <c r="G813" s="17"/>
      <c r="H813" s="17"/>
      <c r="I813" s="17"/>
    </row>
    <row r="814" spans="1:9">
      <c r="A814" s="17" t="s">
        <v>659</v>
      </c>
      <c r="B814" s="17" t="s">
        <v>654</v>
      </c>
      <c r="C814" s="17">
        <v>2.6158076000000001E-3</v>
      </c>
      <c r="D814" s="57">
        <v>0.6</v>
      </c>
      <c r="E814" s="17" t="s">
        <v>25</v>
      </c>
      <c r="F814" s="17" t="s">
        <v>655</v>
      </c>
      <c r="G814" s="17"/>
      <c r="H814" s="17"/>
      <c r="I814" s="17"/>
    </row>
    <row r="815" spans="1:9">
      <c r="A815" s="17" t="s">
        <v>660</v>
      </c>
      <c r="B815" s="17" t="s">
        <v>654</v>
      </c>
      <c r="C815" s="17">
        <v>2.6561587939999999E-3</v>
      </c>
      <c r="D815" s="57">
        <v>1.6</v>
      </c>
      <c r="E815" s="17" t="s">
        <v>25</v>
      </c>
      <c r="F815" s="17" t="s">
        <v>655</v>
      </c>
      <c r="G815" s="17"/>
      <c r="H815" s="17"/>
      <c r="I815" s="17"/>
    </row>
    <row r="816" spans="1:9">
      <c r="A816" s="17" t="s">
        <v>661</v>
      </c>
      <c r="B816" s="17" t="s">
        <v>654</v>
      </c>
      <c r="C816" s="17">
        <v>1.0997336999999999E-3</v>
      </c>
      <c r="D816" s="57">
        <v>2.6</v>
      </c>
      <c r="E816" s="17" t="s">
        <v>25</v>
      </c>
      <c r="F816" s="17" t="s">
        <v>655</v>
      </c>
      <c r="G816" s="17"/>
      <c r="H816" s="17"/>
      <c r="I816" s="17"/>
    </row>
    <row r="817" spans="1:9">
      <c r="A817" s="17"/>
      <c r="B817" s="17"/>
      <c r="C817" s="17"/>
      <c r="D817" s="57"/>
      <c r="E817" s="17"/>
      <c r="F817" s="17"/>
      <c r="G817" s="17"/>
      <c r="H817" s="17"/>
      <c r="I817" s="17"/>
    </row>
    <row r="818" spans="1:9">
      <c r="A818" s="17"/>
      <c r="B818" s="17"/>
      <c r="C818" s="17"/>
      <c r="D818" s="57"/>
      <c r="E818" s="17"/>
      <c r="F818" s="17"/>
      <c r="G818" s="17"/>
      <c r="H818" s="17"/>
      <c r="I818" s="17"/>
    </row>
    <row r="819" spans="1:9" ht="24.9" customHeight="1">
      <c r="A819" s="51" t="s">
        <v>26</v>
      </c>
      <c r="B819" s="55"/>
      <c r="C819" s="55"/>
      <c r="D819" s="56"/>
      <c r="E819" s="55"/>
      <c r="F819" s="55"/>
      <c r="G819" s="55"/>
      <c r="H819" s="55"/>
      <c r="I819" s="55"/>
    </row>
    <row r="820" spans="1:9">
      <c r="A820" s="17" t="s">
        <v>46</v>
      </c>
      <c r="B820" s="17"/>
      <c r="C820" s="17"/>
      <c r="D820" s="57"/>
      <c r="E820" s="17"/>
      <c r="F820" s="17"/>
      <c r="G820" s="17"/>
      <c r="H820" s="17"/>
      <c r="I820" s="17"/>
    </row>
    <row r="821" spans="1:9" s="108" customFormat="1">
      <c r="A821" s="105" t="s">
        <v>1552</v>
      </c>
      <c r="B821" s="105" t="s">
        <v>63</v>
      </c>
      <c r="C821" s="105">
        <v>8.5300000000000001E-2</v>
      </c>
      <c r="D821" s="107">
        <v>0.7</v>
      </c>
      <c r="E821" s="105" t="s">
        <v>26</v>
      </c>
      <c r="F821" s="105" t="s">
        <v>1201</v>
      </c>
      <c r="G821" s="105"/>
      <c r="H821" s="105" t="s">
        <v>26</v>
      </c>
      <c r="I821" s="105" t="s">
        <v>662</v>
      </c>
    </row>
    <row r="822" spans="1:9" s="108" customFormat="1">
      <c r="A822" s="122" t="s">
        <v>1553</v>
      </c>
      <c r="B822" s="105" t="s">
        <v>63</v>
      </c>
      <c r="C822" s="122">
        <v>8.2299999999999998E-2</v>
      </c>
      <c r="D822" s="107">
        <v>0.7</v>
      </c>
      <c r="E822" s="105" t="s">
        <v>26</v>
      </c>
      <c r="F822" s="105" t="s">
        <v>1201</v>
      </c>
      <c r="G822" s="105"/>
      <c r="H822" s="105" t="s">
        <v>26</v>
      </c>
      <c r="I822" s="105" t="s">
        <v>662</v>
      </c>
    </row>
    <row r="823" spans="1:9" s="108" customFormat="1">
      <c r="A823" s="105" t="s">
        <v>1554</v>
      </c>
      <c r="B823" s="105" t="s">
        <v>63</v>
      </c>
      <c r="C823" s="105">
        <v>7.9799999999999996E-2</v>
      </c>
      <c r="D823" s="107">
        <v>0.7</v>
      </c>
      <c r="E823" s="105" t="s">
        <v>26</v>
      </c>
      <c r="F823" s="105" t="s">
        <v>1201</v>
      </c>
      <c r="G823" s="105"/>
      <c r="H823" s="105" t="s">
        <v>26</v>
      </c>
      <c r="I823" s="105" t="s">
        <v>662</v>
      </c>
    </row>
    <row r="824" spans="1:9" s="108" customFormat="1">
      <c r="A824" s="122" t="s">
        <v>1555</v>
      </c>
      <c r="B824" s="105" t="s">
        <v>63</v>
      </c>
      <c r="C824" s="122">
        <v>9.1800000000000007E-2</v>
      </c>
      <c r="D824" s="107">
        <v>0.7</v>
      </c>
      <c r="E824" s="105" t="s">
        <v>26</v>
      </c>
      <c r="F824" s="105" t="s">
        <v>1201</v>
      </c>
      <c r="G824" s="105"/>
      <c r="H824" s="105" t="s">
        <v>26</v>
      </c>
      <c r="I824" s="105" t="s">
        <v>662</v>
      </c>
    </row>
    <row r="825" spans="1:9" s="108" customFormat="1">
      <c r="A825" s="105" t="s">
        <v>1556</v>
      </c>
      <c r="B825" s="105" t="s">
        <v>63</v>
      </c>
      <c r="C825" s="105">
        <v>7.8799999999999995E-2</v>
      </c>
      <c r="D825" s="107">
        <v>0.7</v>
      </c>
      <c r="E825" s="105" t="s">
        <v>26</v>
      </c>
      <c r="F825" s="105" t="s">
        <v>1201</v>
      </c>
      <c r="G825" s="105"/>
      <c r="H825" s="105" t="s">
        <v>26</v>
      </c>
      <c r="I825" s="105" t="s">
        <v>662</v>
      </c>
    </row>
    <row r="826" spans="1:9" s="108" customFormat="1">
      <c r="A826" s="122" t="s">
        <v>1557</v>
      </c>
      <c r="B826" s="105" t="s">
        <v>63</v>
      </c>
      <c r="C826" s="122">
        <v>7.1099999999999997E-2</v>
      </c>
      <c r="D826" s="107">
        <v>0.7</v>
      </c>
      <c r="E826" s="105" t="s">
        <v>26</v>
      </c>
      <c r="F826" s="105" t="s">
        <v>1201</v>
      </c>
      <c r="G826" s="105"/>
      <c r="H826" s="105" t="s">
        <v>26</v>
      </c>
      <c r="I826" s="105" t="s">
        <v>662</v>
      </c>
    </row>
    <row r="827" spans="1:9" s="108" customFormat="1">
      <c r="A827" s="105" t="s">
        <v>1558</v>
      </c>
      <c r="B827" s="105" t="s">
        <v>63</v>
      </c>
      <c r="C827" s="105">
        <v>6.7400000000000002E-2</v>
      </c>
      <c r="D827" s="107">
        <v>0.7</v>
      </c>
      <c r="E827" s="105" t="s">
        <v>26</v>
      </c>
      <c r="F827" s="105" t="s">
        <v>1201</v>
      </c>
      <c r="G827" s="105"/>
      <c r="H827" s="105" t="s">
        <v>26</v>
      </c>
      <c r="I827" s="105" t="s">
        <v>662</v>
      </c>
    </row>
    <row r="828" spans="1:9" s="108" customFormat="1">
      <c r="A828" s="122" t="s">
        <v>1559</v>
      </c>
      <c r="B828" s="105" t="s">
        <v>63</v>
      </c>
      <c r="C828" s="122">
        <v>6.7500000000000004E-2</v>
      </c>
      <c r="D828" s="107">
        <v>0.7</v>
      </c>
      <c r="E828" s="105" t="s">
        <v>26</v>
      </c>
      <c r="F828" s="105" t="s">
        <v>1201</v>
      </c>
      <c r="G828" s="105"/>
      <c r="H828" s="105" t="s">
        <v>26</v>
      </c>
      <c r="I828" s="105" t="s">
        <v>662</v>
      </c>
    </row>
    <row r="829" spans="1:9" s="108" customFormat="1">
      <c r="A829" s="105" t="s">
        <v>1560</v>
      </c>
      <c r="B829" s="105" t="s">
        <v>1561</v>
      </c>
      <c r="C829" s="122">
        <v>5.2999999999999999E-2</v>
      </c>
      <c r="D829" s="107">
        <v>0.7</v>
      </c>
      <c r="E829" s="105" t="s">
        <v>26</v>
      </c>
      <c r="F829" s="105" t="s">
        <v>1201</v>
      </c>
      <c r="G829" s="105"/>
      <c r="H829" s="105" t="s">
        <v>26</v>
      </c>
      <c r="I829" s="105" t="s">
        <v>662</v>
      </c>
    </row>
    <row r="830" spans="1:9" s="108" customFormat="1">
      <c r="A830" s="105" t="s">
        <v>1562</v>
      </c>
      <c r="B830" s="105" t="s">
        <v>1561</v>
      </c>
      <c r="C830" s="122">
        <v>0.17699999999999999</v>
      </c>
      <c r="D830" s="107">
        <v>0.7</v>
      </c>
      <c r="E830" s="105" t="s">
        <v>26</v>
      </c>
      <c r="F830" s="105" t="s">
        <v>1201</v>
      </c>
      <c r="G830" s="105"/>
      <c r="H830" s="105" t="s">
        <v>26</v>
      </c>
      <c r="I830" s="105" t="s">
        <v>662</v>
      </c>
    </row>
    <row r="831" spans="1:9" s="108" customFormat="1">
      <c r="A831" s="105" t="s">
        <v>1563</v>
      </c>
      <c r="B831" s="105" t="s">
        <v>63</v>
      </c>
      <c r="C831" s="105">
        <v>0.378</v>
      </c>
      <c r="D831" s="107">
        <v>0.7</v>
      </c>
      <c r="E831" s="105" t="s">
        <v>26</v>
      </c>
      <c r="F831" s="105" t="s">
        <v>1201</v>
      </c>
      <c r="G831" s="105"/>
      <c r="H831" s="105" t="s">
        <v>26</v>
      </c>
      <c r="I831" s="105" t="s">
        <v>662</v>
      </c>
    </row>
    <row r="832" spans="1:9" s="108" customFormat="1">
      <c r="A832" s="122" t="s">
        <v>1564</v>
      </c>
      <c r="B832" s="105" t="s">
        <v>63</v>
      </c>
      <c r="C832" s="122">
        <v>5.8000000000000003E-2</v>
      </c>
      <c r="D832" s="107">
        <v>0.7</v>
      </c>
      <c r="E832" s="105" t="s">
        <v>26</v>
      </c>
      <c r="F832" s="105" t="s">
        <v>1201</v>
      </c>
      <c r="G832" s="105"/>
      <c r="H832" s="105" t="s">
        <v>26</v>
      </c>
      <c r="I832" s="105" t="s">
        <v>662</v>
      </c>
    </row>
    <row r="833" spans="1:9" s="108" customFormat="1">
      <c r="A833" s="105" t="s">
        <v>1565</v>
      </c>
      <c r="B833" s="105" t="s">
        <v>63</v>
      </c>
      <c r="C833" s="105">
        <v>0.36599999999999999</v>
      </c>
      <c r="D833" s="107">
        <v>0.7</v>
      </c>
      <c r="E833" s="105" t="s">
        <v>26</v>
      </c>
      <c r="F833" s="105" t="s">
        <v>1201</v>
      </c>
      <c r="G833" s="105"/>
      <c r="H833" s="105" t="s">
        <v>26</v>
      </c>
      <c r="I833" s="105" t="s">
        <v>662</v>
      </c>
    </row>
    <row r="834" spans="1:9" s="108" customFormat="1">
      <c r="A834" s="122" t="s">
        <v>1566</v>
      </c>
      <c r="B834" s="105" t="s">
        <v>63</v>
      </c>
      <c r="C834" s="122">
        <v>0.27500000000000002</v>
      </c>
      <c r="D834" s="107">
        <v>0.7</v>
      </c>
      <c r="E834" s="105" t="s">
        <v>26</v>
      </c>
      <c r="F834" s="105" t="s">
        <v>1201</v>
      </c>
      <c r="G834" s="105"/>
      <c r="H834" s="105" t="s">
        <v>26</v>
      </c>
      <c r="I834" s="105" t="s">
        <v>662</v>
      </c>
    </row>
    <row r="835" spans="1:9" s="108" customFormat="1">
      <c r="A835" s="105" t="s">
        <v>1567</v>
      </c>
      <c r="B835" s="105" t="s">
        <v>63</v>
      </c>
      <c r="C835" s="105">
        <v>0.29899999999999999</v>
      </c>
      <c r="D835" s="107">
        <v>0.7</v>
      </c>
      <c r="E835" s="105" t="s">
        <v>26</v>
      </c>
      <c r="F835" s="105" t="s">
        <v>1201</v>
      </c>
      <c r="G835" s="105"/>
      <c r="H835" s="105" t="s">
        <v>26</v>
      </c>
      <c r="I835" s="105" t="s">
        <v>662</v>
      </c>
    </row>
    <row r="836" spans="1:9" s="108" customFormat="1">
      <c r="A836" s="122" t="s">
        <v>1568</v>
      </c>
      <c r="B836" s="105" t="s">
        <v>63</v>
      </c>
      <c r="C836" s="122">
        <v>0.24099999999999999</v>
      </c>
      <c r="D836" s="107">
        <v>0.7</v>
      </c>
      <c r="E836" s="105" t="s">
        <v>26</v>
      </c>
      <c r="F836" s="105" t="s">
        <v>1201</v>
      </c>
      <c r="G836" s="105"/>
      <c r="H836" s="105" t="s">
        <v>26</v>
      </c>
      <c r="I836" s="105" t="s">
        <v>662</v>
      </c>
    </row>
    <row r="837" spans="1:9" s="108" customFormat="1">
      <c r="A837" s="105" t="s">
        <v>1569</v>
      </c>
      <c r="B837" s="105" t="s">
        <v>63</v>
      </c>
      <c r="C837" s="105">
        <v>0.22800000000000001</v>
      </c>
      <c r="D837" s="107">
        <v>0.7</v>
      </c>
      <c r="E837" s="105" t="s">
        <v>26</v>
      </c>
      <c r="F837" s="105" t="s">
        <v>1201</v>
      </c>
      <c r="G837" s="105"/>
      <c r="H837" s="105" t="s">
        <v>26</v>
      </c>
      <c r="I837" s="105" t="s">
        <v>662</v>
      </c>
    </row>
    <row r="838" spans="1:9" s="108" customFormat="1">
      <c r="A838" s="122" t="s">
        <v>1570</v>
      </c>
      <c r="B838" s="105" t="s">
        <v>63</v>
      </c>
      <c r="C838" s="122">
        <v>0.16</v>
      </c>
      <c r="D838" s="107">
        <v>0.7</v>
      </c>
      <c r="E838" s="105" t="s">
        <v>26</v>
      </c>
      <c r="F838" s="105" t="s">
        <v>1201</v>
      </c>
      <c r="G838" s="105"/>
      <c r="H838" s="105" t="s">
        <v>26</v>
      </c>
      <c r="I838" s="105" t="s">
        <v>662</v>
      </c>
    </row>
    <row r="839" spans="1:9" s="108" customFormat="1">
      <c r="A839" s="105" t="s">
        <v>1571</v>
      </c>
      <c r="B839" s="105" t="s">
        <v>63</v>
      </c>
      <c r="C839" s="105">
        <v>0.156</v>
      </c>
      <c r="D839" s="107">
        <v>0.7</v>
      </c>
      <c r="E839" s="105" t="s">
        <v>26</v>
      </c>
      <c r="F839" s="105" t="s">
        <v>1201</v>
      </c>
      <c r="G839" s="105"/>
      <c r="H839" s="105" t="s">
        <v>26</v>
      </c>
      <c r="I839" s="105" t="s">
        <v>662</v>
      </c>
    </row>
    <row r="840" spans="1:9" s="108" customFormat="1">
      <c r="A840" s="122" t="s">
        <v>1572</v>
      </c>
      <c r="B840" s="105" t="s">
        <v>63</v>
      </c>
      <c r="C840" s="122">
        <v>0.187</v>
      </c>
      <c r="D840" s="107">
        <v>0.7</v>
      </c>
      <c r="E840" s="105" t="s">
        <v>26</v>
      </c>
      <c r="F840" s="105" t="s">
        <v>1201</v>
      </c>
      <c r="G840" s="105"/>
      <c r="H840" s="105" t="s">
        <v>26</v>
      </c>
      <c r="I840" s="105" t="s">
        <v>662</v>
      </c>
    </row>
    <row r="841" spans="1:9" s="108" customFormat="1">
      <c r="A841" s="105" t="s">
        <v>1573</v>
      </c>
      <c r="B841" s="105" t="s">
        <v>63</v>
      </c>
      <c r="C841" s="105">
        <v>0.13500000000000001</v>
      </c>
      <c r="D841" s="107">
        <v>0.7</v>
      </c>
      <c r="E841" s="105" t="s">
        <v>26</v>
      </c>
      <c r="F841" s="105" t="s">
        <v>1201</v>
      </c>
      <c r="G841" s="105"/>
      <c r="H841" s="105" t="s">
        <v>26</v>
      </c>
      <c r="I841" s="105" t="s">
        <v>662</v>
      </c>
    </row>
    <row r="842" spans="1:9" s="108" customFormat="1">
      <c r="A842" s="122" t="s">
        <v>1574</v>
      </c>
      <c r="B842" s="105" t="s">
        <v>63</v>
      </c>
      <c r="C842" s="122">
        <v>0.14599999999999999</v>
      </c>
      <c r="D842" s="107">
        <v>0.7</v>
      </c>
      <c r="E842" s="105" t="s">
        <v>26</v>
      </c>
      <c r="F842" s="105" t="s">
        <v>1201</v>
      </c>
      <c r="G842" s="105"/>
      <c r="H842" s="105" t="s">
        <v>26</v>
      </c>
      <c r="I842" s="105" t="s">
        <v>662</v>
      </c>
    </row>
    <row r="843" spans="1:9" s="108" customFormat="1">
      <c r="A843" s="105" t="s">
        <v>1575</v>
      </c>
      <c r="B843" s="105" t="s">
        <v>63</v>
      </c>
      <c r="C843" s="105">
        <v>0.187</v>
      </c>
      <c r="D843" s="107">
        <v>0.7</v>
      </c>
      <c r="E843" s="105" t="s">
        <v>26</v>
      </c>
      <c r="F843" s="105" t="s">
        <v>1201</v>
      </c>
      <c r="G843" s="105"/>
      <c r="H843" s="105" t="s">
        <v>26</v>
      </c>
      <c r="I843" s="105" t="s">
        <v>662</v>
      </c>
    </row>
    <row r="844" spans="1:9" s="108" customFormat="1">
      <c r="A844" s="122" t="s">
        <v>1576</v>
      </c>
      <c r="B844" s="105" t="s">
        <v>63</v>
      </c>
      <c r="C844" s="122">
        <v>0.105</v>
      </c>
      <c r="D844" s="107">
        <v>0.7</v>
      </c>
      <c r="E844" s="105" t="s">
        <v>26</v>
      </c>
      <c r="F844" s="105" t="s">
        <v>1201</v>
      </c>
      <c r="G844" s="105"/>
      <c r="H844" s="105" t="s">
        <v>26</v>
      </c>
      <c r="I844" s="105" t="s">
        <v>662</v>
      </c>
    </row>
    <row r="845" spans="1:9" s="108" customFormat="1">
      <c r="A845" s="105" t="s">
        <v>1577</v>
      </c>
      <c r="B845" s="105" t="s">
        <v>45</v>
      </c>
      <c r="C845" s="105">
        <v>8.2000000000000003E-2</v>
      </c>
      <c r="D845" s="107">
        <v>0.7</v>
      </c>
      <c r="E845" s="105" t="s">
        <v>26</v>
      </c>
      <c r="F845" s="105" t="s">
        <v>1201</v>
      </c>
      <c r="G845" s="105"/>
      <c r="H845" s="105" t="s">
        <v>26</v>
      </c>
      <c r="I845" s="105" t="s">
        <v>662</v>
      </c>
    </row>
    <row r="846" spans="1:9" s="108" customFormat="1">
      <c r="A846" s="122" t="s">
        <v>1578</v>
      </c>
      <c r="B846" s="105" t="s">
        <v>45</v>
      </c>
      <c r="C846" s="122">
        <v>9.0999999999999998E-2</v>
      </c>
      <c r="D846" s="107">
        <v>0.7</v>
      </c>
      <c r="E846" s="105" t="s">
        <v>26</v>
      </c>
      <c r="F846" s="105" t="s">
        <v>1201</v>
      </c>
      <c r="G846" s="105"/>
      <c r="H846" s="105" t="s">
        <v>26</v>
      </c>
      <c r="I846" s="105" t="s">
        <v>662</v>
      </c>
    </row>
    <row r="847" spans="1:9" s="108" customFormat="1">
      <c r="A847" s="105" t="s">
        <v>1579</v>
      </c>
      <c r="B847" s="105" t="s">
        <v>45</v>
      </c>
      <c r="C847" s="105">
        <v>0.311</v>
      </c>
      <c r="D847" s="107">
        <v>0.7</v>
      </c>
      <c r="E847" s="105" t="s">
        <v>26</v>
      </c>
      <c r="F847" s="105" t="s">
        <v>1201</v>
      </c>
      <c r="G847" s="105"/>
      <c r="H847" s="105" t="s">
        <v>26</v>
      </c>
      <c r="I847" s="105" t="s">
        <v>662</v>
      </c>
    </row>
    <row r="848" spans="1:9" s="108" customFormat="1">
      <c r="A848" s="122" t="s">
        <v>1580</v>
      </c>
      <c r="B848" s="105" t="s">
        <v>45</v>
      </c>
      <c r="C848" s="122">
        <v>0.13800000000000001</v>
      </c>
      <c r="D848" s="107">
        <v>0.7</v>
      </c>
      <c r="E848" s="105" t="s">
        <v>26</v>
      </c>
      <c r="F848" s="105" t="s">
        <v>1201</v>
      </c>
      <c r="G848" s="105"/>
      <c r="H848" s="105" t="s">
        <v>26</v>
      </c>
      <c r="I848" s="105" t="s">
        <v>662</v>
      </c>
    </row>
    <row r="849" spans="1:9" s="108" customFormat="1">
      <c r="A849" s="105" t="s">
        <v>1581</v>
      </c>
      <c r="B849" s="105" t="s">
        <v>45</v>
      </c>
      <c r="C849" s="105">
        <v>0.23499999999999999</v>
      </c>
      <c r="D849" s="107">
        <v>0.7</v>
      </c>
      <c r="E849" s="105" t="s">
        <v>26</v>
      </c>
      <c r="F849" s="105" t="s">
        <v>1201</v>
      </c>
      <c r="G849" s="105"/>
      <c r="H849" s="105" t="s">
        <v>26</v>
      </c>
      <c r="I849" s="105" t="s">
        <v>662</v>
      </c>
    </row>
    <row r="850" spans="1:9" s="108" customFormat="1">
      <c r="A850" s="122" t="s">
        <v>1582</v>
      </c>
      <c r="B850" s="105" t="s">
        <v>63</v>
      </c>
      <c r="C850" s="122">
        <v>0.82599999999999996</v>
      </c>
      <c r="D850" s="107">
        <v>0.7</v>
      </c>
      <c r="E850" s="105" t="s">
        <v>26</v>
      </c>
      <c r="F850" s="105" t="s">
        <v>1201</v>
      </c>
      <c r="G850" s="105"/>
      <c r="H850" s="105" t="s">
        <v>26</v>
      </c>
      <c r="I850" s="105" t="s">
        <v>662</v>
      </c>
    </row>
    <row r="851" spans="1:9" s="108" customFormat="1">
      <c r="A851" s="105" t="s">
        <v>1583</v>
      </c>
      <c r="B851" s="105" t="s">
        <v>63</v>
      </c>
      <c r="C851" s="105">
        <v>1.1599999999999999</v>
      </c>
      <c r="D851" s="107">
        <v>0.7</v>
      </c>
      <c r="E851" s="105" t="s">
        <v>26</v>
      </c>
      <c r="F851" s="105" t="s">
        <v>1201</v>
      </c>
      <c r="G851" s="105"/>
      <c r="H851" s="105" t="s">
        <v>26</v>
      </c>
      <c r="I851" s="105" t="s">
        <v>662</v>
      </c>
    </row>
    <row r="852" spans="1:9" s="108" customFormat="1">
      <c r="A852" s="122" t="s">
        <v>1584</v>
      </c>
      <c r="B852" s="105" t="s">
        <v>63</v>
      </c>
      <c r="C852" s="122">
        <v>0.77300000000000002</v>
      </c>
      <c r="D852" s="107">
        <v>0.7</v>
      </c>
      <c r="E852" s="105" t="s">
        <v>26</v>
      </c>
      <c r="F852" s="105" t="s">
        <v>1201</v>
      </c>
      <c r="G852" s="105"/>
      <c r="H852" s="105" t="s">
        <v>26</v>
      </c>
      <c r="I852" s="105" t="s">
        <v>662</v>
      </c>
    </row>
    <row r="853" spans="1:9" s="108" customFormat="1">
      <c r="A853" s="105" t="s">
        <v>1585</v>
      </c>
      <c r="B853" s="105" t="s">
        <v>63</v>
      </c>
      <c r="C853" s="105">
        <v>0.81299999999999994</v>
      </c>
      <c r="D853" s="107">
        <v>0.7</v>
      </c>
      <c r="E853" s="105" t="s">
        <v>26</v>
      </c>
      <c r="F853" s="105" t="s">
        <v>1201</v>
      </c>
      <c r="G853" s="105"/>
      <c r="H853" s="105" t="s">
        <v>26</v>
      </c>
      <c r="I853" s="105" t="s">
        <v>662</v>
      </c>
    </row>
    <row r="854" spans="1:9" ht="15.6">
      <c r="A854" s="17" t="s">
        <v>663</v>
      </c>
      <c r="B854" s="17" t="s">
        <v>63</v>
      </c>
      <c r="C854" s="68">
        <v>0.16508999999999999</v>
      </c>
      <c r="D854" s="59">
        <v>0.3</v>
      </c>
      <c r="E854" s="17" t="s">
        <v>26</v>
      </c>
      <c r="F854" s="17" t="s">
        <v>140</v>
      </c>
      <c r="G854" s="17" t="s">
        <v>664</v>
      </c>
      <c r="H854" s="17" t="s">
        <v>26</v>
      </c>
      <c r="I854" s="17" t="s">
        <v>662</v>
      </c>
    </row>
    <row r="855" spans="1:9" ht="15.6">
      <c r="A855" s="17" t="s">
        <v>665</v>
      </c>
      <c r="B855" s="17" t="s">
        <v>63</v>
      </c>
      <c r="C855" s="68">
        <v>0.13322999999999999</v>
      </c>
      <c r="D855" s="59">
        <v>0.3</v>
      </c>
      <c r="E855" s="17" t="s">
        <v>26</v>
      </c>
      <c r="F855" s="17" t="s">
        <v>140</v>
      </c>
      <c r="G855" s="17" t="s">
        <v>666</v>
      </c>
      <c r="H855" s="17" t="s">
        <v>26</v>
      </c>
      <c r="I855" s="17" t="s">
        <v>662</v>
      </c>
    </row>
    <row r="856" spans="1:9" ht="15.6">
      <c r="A856" s="17" t="s">
        <v>667</v>
      </c>
      <c r="B856" s="17" t="s">
        <v>63</v>
      </c>
      <c r="C856" s="68">
        <v>0.57199999999999995</v>
      </c>
      <c r="D856" s="59">
        <v>0.3</v>
      </c>
      <c r="E856" s="17" t="s">
        <v>26</v>
      </c>
      <c r="F856" s="17" t="s">
        <v>141</v>
      </c>
      <c r="G856" s="17"/>
      <c r="H856" s="17" t="s">
        <v>26</v>
      </c>
      <c r="I856" s="17" t="s">
        <v>662</v>
      </c>
    </row>
    <row r="857" spans="1:9" ht="15.6">
      <c r="A857" s="17" t="s">
        <v>668</v>
      </c>
      <c r="B857" s="17" t="s">
        <v>63</v>
      </c>
      <c r="C857" s="68">
        <v>1.9104000000000001</v>
      </c>
      <c r="D857" s="59">
        <v>0.3</v>
      </c>
      <c r="E857" s="17" t="s">
        <v>26</v>
      </c>
      <c r="F857" s="17" t="s">
        <v>140</v>
      </c>
      <c r="G857" s="17" t="s">
        <v>669</v>
      </c>
      <c r="H857" s="17" t="s">
        <v>26</v>
      </c>
      <c r="I857" s="17" t="s">
        <v>662</v>
      </c>
    </row>
    <row r="858" spans="1:9" s="108" customFormat="1" ht="30.6">
      <c r="A858" s="115" t="s">
        <v>670</v>
      </c>
      <c r="B858" s="105" t="s">
        <v>48</v>
      </c>
      <c r="C858" s="120">
        <f>0.342*C1252</f>
        <v>1.0602</v>
      </c>
      <c r="D858" s="109">
        <v>0.3</v>
      </c>
      <c r="E858" s="105" t="s">
        <v>26</v>
      </c>
      <c r="F858" s="105" t="s">
        <v>1586</v>
      </c>
      <c r="G858" s="105" t="s">
        <v>672</v>
      </c>
      <c r="H858" s="105" t="s">
        <v>26</v>
      </c>
      <c r="I858" s="105" t="s">
        <v>662</v>
      </c>
    </row>
    <row r="859" spans="1:9" s="108" customFormat="1" ht="30.6">
      <c r="A859" s="115" t="s">
        <v>47</v>
      </c>
      <c r="B859" s="105" t="s">
        <v>48</v>
      </c>
      <c r="C859" s="120">
        <f>C1252*0.427</f>
        <v>1.3237000000000001</v>
      </c>
      <c r="D859" s="109">
        <v>0.3</v>
      </c>
      <c r="E859" s="105" t="s">
        <v>26</v>
      </c>
      <c r="F859" s="105" t="s">
        <v>1586</v>
      </c>
      <c r="G859" s="105" t="s">
        <v>673</v>
      </c>
      <c r="H859" s="105" t="s">
        <v>26</v>
      </c>
      <c r="I859" s="105" t="s">
        <v>662</v>
      </c>
    </row>
    <row r="860" spans="1:9" s="108" customFormat="1" ht="30.6">
      <c r="A860" s="115" t="s">
        <v>674</v>
      </c>
      <c r="B860" s="105" t="s">
        <v>48</v>
      </c>
      <c r="C860" s="120">
        <f>C1252*0.353</f>
        <v>1.0943000000000001</v>
      </c>
      <c r="D860" s="109">
        <v>0.3</v>
      </c>
      <c r="E860" s="105" t="s">
        <v>26</v>
      </c>
      <c r="F860" s="105" t="s">
        <v>1586</v>
      </c>
      <c r="G860" s="105" t="s">
        <v>673</v>
      </c>
      <c r="H860" s="105" t="s">
        <v>26</v>
      </c>
      <c r="I860" s="105" t="s">
        <v>662</v>
      </c>
    </row>
    <row r="861" spans="1:9" s="108" customFormat="1" ht="30.6">
      <c r="A861" s="115" t="s">
        <v>675</v>
      </c>
      <c r="B861" s="105" t="s">
        <v>48</v>
      </c>
      <c r="C861" s="120">
        <f>C1252*0.379</f>
        <v>1.1749000000000001</v>
      </c>
      <c r="D861" s="109">
        <v>0.3</v>
      </c>
      <c r="E861" s="105" t="s">
        <v>26</v>
      </c>
      <c r="F861" s="105" t="s">
        <v>1586</v>
      </c>
      <c r="G861" s="105" t="s">
        <v>673</v>
      </c>
      <c r="H861" s="105" t="s">
        <v>26</v>
      </c>
      <c r="I861" s="105" t="s">
        <v>662</v>
      </c>
    </row>
    <row r="862" spans="1:9" s="108" customFormat="1" ht="15.6">
      <c r="A862" s="105" t="s">
        <v>102</v>
      </c>
      <c r="B862" s="105" t="s">
        <v>48</v>
      </c>
      <c r="C862" s="120">
        <f>C1252*0.342</f>
        <v>1.0602</v>
      </c>
      <c r="D862" s="109">
        <v>0.3</v>
      </c>
      <c r="E862" s="105" t="s">
        <v>26</v>
      </c>
      <c r="F862" s="105" t="s">
        <v>1586</v>
      </c>
      <c r="G862" s="105" t="s">
        <v>673</v>
      </c>
      <c r="H862" s="105" t="s">
        <v>26</v>
      </c>
      <c r="I862" s="105" t="s">
        <v>662</v>
      </c>
    </row>
    <row r="863" spans="1:9" s="108" customFormat="1" ht="15.6">
      <c r="A863" s="105" t="s">
        <v>676</v>
      </c>
      <c r="B863" s="105" t="s">
        <v>48</v>
      </c>
      <c r="C863" s="120">
        <f>C1252*0.338</f>
        <v>1.0478000000000001</v>
      </c>
      <c r="D863" s="109">
        <v>0.3</v>
      </c>
      <c r="E863" s="105" t="s">
        <v>26</v>
      </c>
      <c r="F863" s="105" t="s">
        <v>1586</v>
      </c>
      <c r="G863" s="105" t="s">
        <v>673</v>
      </c>
      <c r="H863" s="105" t="s">
        <v>26</v>
      </c>
      <c r="I863" s="105" t="s">
        <v>662</v>
      </c>
    </row>
    <row r="864" spans="1:9" s="108" customFormat="1" ht="30.6">
      <c r="A864" s="115" t="s">
        <v>677</v>
      </c>
      <c r="B864" s="105" t="s">
        <v>48</v>
      </c>
      <c r="C864" s="120">
        <f>C1252*0.373</f>
        <v>1.1563000000000001</v>
      </c>
      <c r="D864" s="109">
        <v>0.3</v>
      </c>
      <c r="E864" s="105" t="s">
        <v>26</v>
      </c>
      <c r="F864" s="105" t="s">
        <v>1586</v>
      </c>
      <c r="G864" s="105" t="s">
        <v>673</v>
      </c>
      <c r="H864" s="105" t="s">
        <v>26</v>
      </c>
      <c r="I864" s="105" t="s">
        <v>662</v>
      </c>
    </row>
    <row r="865" spans="1:9" ht="15.6">
      <c r="A865" s="17" t="s">
        <v>678</v>
      </c>
      <c r="B865" s="17" t="s">
        <v>63</v>
      </c>
      <c r="C865" s="68">
        <v>0.10999999999999999</v>
      </c>
      <c r="D865" s="59">
        <v>0.3</v>
      </c>
      <c r="E865" s="17" t="s">
        <v>26</v>
      </c>
      <c r="F865" s="17" t="s">
        <v>141</v>
      </c>
      <c r="G865" s="17"/>
      <c r="H865" s="17" t="s">
        <v>26</v>
      </c>
      <c r="I865" s="17" t="s">
        <v>662</v>
      </c>
    </row>
    <row r="866" spans="1:9" ht="15.6">
      <c r="A866" s="17" t="s">
        <v>679</v>
      </c>
      <c r="B866" s="17" t="s">
        <v>63</v>
      </c>
      <c r="C866" s="68">
        <v>0.21999999999999997</v>
      </c>
      <c r="D866" s="59">
        <v>0.3</v>
      </c>
      <c r="E866" s="17" t="s">
        <v>26</v>
      </c>
      <c r="F866" s="17" t="s">
        <v>141</v>
      </c>
      <c r="G866" s="17"/>
      <c r="H866" s="17" t="s">
        <v>26</v>
      </c>
      <c r="I866" s="17" t="s">
        <v>662</v>
      </c>
    </row>
    <row r="867" spans="1:9" ht="15.6">
      <c r="A867" s="17" t="s">
        <v>680</v>
      </c>
      <c r="B867" s="17" t="s">
        <v>63</v>
      </c>
      <c r="C867" s="68">
        <v>0.10538</v>
      </c>
      <c r="D867" s="59">
        <v>0.3</v>
      </c>
      <c r="E867" s="17" t="s">
        <v>26</v>
      </c>
      <c r="F867" s="17" t="s">
        <v>140</v>
      </c>
      <c r="G867" s="17"/>
      <c r="H867" s="17" t="s">
        <v>26</v>
      </c>
      <c r="I867" s="17" t="s">
        <v>662</v>
      </c>
    </row>
    <row r="868" spans="1:9" ht="15.6">
      <c r="A868" s="17" t="s">
        <v>681</v>
      </c>
      <c r="B868" s="17" t="s">
        <v>63</v>
      </c>
      <c r="C868" s="68">
        <v>0.25697999999999999</v>
      </c>
      <c r="D868" s="59">
        <v>0.3</v>
      </c>
      <c r="E868" s="17" t="s">
        <v>26</v>
      </c>
      <c r="F868" s="17" t="s">
        <v>140</v>
      </c>
      <c r="G868" s="17"/>
      <c r="H868" s="17" t="s">
        <v>26</v>
      </c>
      <c r="I868" s="17" t="s">
        <v>662</v>
      </c>
    </row>
    <row r="869" spans="1:9">
      <c r="A869" s="17" t="s">
        <v>682</v>
      </c>
      <c r="B869" s="17" t="s">
        <v>63</v>
      </c>
      <c r="C869" s="68">
        <v>0.253</v>
      </c>
      <c r="D869" s="57">
        <v>0.1</v>
      </c>
      <c r="E869" s="17" t="s">
        <v>26</v>
      </c>
      <c r="F869" s="17" t="s">
        <v>135</v>
      </c>
      <c r="G869" s="17"/>
      <c r="H869" s="17" t="s">
        <v>26</v>
      </c>
      <c r="I869" s="17" t="s">
        <v>662</v>
      </c>
    </row>
    <row r="870" spans="1:9">
      <c r="A870" s="17" t="s">
        <v>683</v>
      </c>
      <c r="B870" s="17" t="s">
        <v>63</v>
      </c>
      <c r="C870" s="68">
        <v>0.21999999999999997</v>
      </c>
      <c r="D870" s="57">
        <v>0.1</v>
      </c>
      <c r="E870" s="17" t="s">
        <v>26</v>
      </c>
      <c r="F870" s="17" t="s">
        <v>135</v>
      </c>
      <c r="G870" s="17"/>
      <c r="H870" s="17" t="s">
        <v>26</v>
      </c>
      <c r="I870" s="17" t="s">
        <v>662</v>
      </c>
    </row>
    <row r="871" spans="1:9">
      <c r="A871" s="17" t="s">
        <v>684</v>
      </c>
      <c r="B871" s="17" t="s">
        <v>63</v>
      </c>
      <c r="C871" s="68">
        <v>0.21999999999999997</v>
      </c>
      <c r="D871" s="57">
        <v>0.1</v>
      </c>
      <c r="E871" s="17" t="s">
        <v>26</v>
      </c>
      <c r="F871" s="17" t="s">
        <v>135</v>
      </c>
      <c r="G871" s="17"/>
      <c r="H871" s="17" t="s">
        <v>26</v>
      </c>
      <c r="I871" s="17" t="s">
        <v>662</v>
      </c>
    </row>
    <row r="872" spans="1:9" ht="15.6">
      <c r="A872" s="17" t="s">
        <v>685</v>
      </c>
      <c r="B872" s="17" t="s">
        <v>48</v>
      </c>
      <c r="C872" s="68">
        <v>0.7367999999999999</v>
      </c>
      <c r="D872" s="59">
        <v>0.3</v>
      </c>
      <c r="E872" s="17" t="s">
        <v>26</v>
      </c>
      <c r="F872" s="17" t="s">
        <v>671</v>
      </c>
      <c r="G872" s="17" t="s">
        <v>686</v>
      </c>
      <c r="H872" s="17" t="s">
        <v>26</v>
      </c>
      <c r="I872" s="17" t="s">
        <v>662</v>
      </c>
    </row>
    <row r="873" spans="1:9" ht="30.6">
      <c r="A873" s="61" t="s">
        <v>687</v>
      </c>
      <c r="B873" s="17" t="s">
        <v>48</v>
      </c>
      <c r="C873" s="68">
        <v>0.49119999999999997</v>
      </c>
      <c r="D873" s="59">
        <v>0.3</v>
      </c>
      <c r="E873" s="17" t="s">
        <v>26</v>
      </c>
      <c r="F873" s="17" t="s">
        <v>671</v>
      </c>
      <c r="G873" s="17" t="s">
        <v>688</v>
      </c>
      <c r="H873" s="17" t="s">
        <v>26</v>
      </c>
      <c r="I873" s="17" t="s">
        <v>662</v>
      </c>
    </row>
    <row r="874" spans="1:9" ht="15.6">
      <c r="A874" s="17" t="s">
        <v>689</v>
      </c>
      <c r="B874" s="17" t="s">
        <v>48</v>
      </c>
      <c r="C874" s="68">
        <v>0.6754</v>
      </c>
      <c r="D874" s="59">
        <v>0.3</v>
      </c>
      <c r="E874" s="17" t="s">
        <v>26</v>
      </c>
      <c r="F874" s="17" t="s">
        <v>671</v>
      </c>
      <c r="G874" s="17" t="s">
        <v>690</v>
      </c>
      <c r="H874" s="17" t="s">
        <v>26</v>
      </c>
      <c r="I874" s="17" t="s">
        <v>662</v>
      </c>
    </row>
    <row r="875" spans="1:9" ht="15.6">
      <c r="A875" s="17" t="s">
        <v>691</v>
      </c>
      <c r="B875" s="17" t="s">
        <v>63</v>
      </c>
      <c r="C875" s="68">
        <v>0.25666666666666665</v>
      </c>
      <c r="D875" s="59">
        <v>0.3</v>
      </c>
      <c r="E875" s="17" t="s">
        <v>26</v>
      </c>
      <c r="F875" s="17" t="s">
        <v>141</v>
      </c>
      <c r="G875" s="17"/>
      <c r="H875" s="17" t="s">
        <v>26</v>
      </c>
      <c r="I875" s="17" t="s">
        <v>662</v>
      </c>
    </row>
    <row r="876" spans="1:9" ht="15.6">
      <c r="A876" s="17" t="s">
        <v>692</v>
      </c>
      <c r="B876" s="17" t="s">
        <v>63</v>
      </c>
      <c r="C876" s="68">
        <v>0.11733333333333333</v>
      </c>
      <c r="D876" s="59">
        <v>0.3</v>
      </c>
      <c r="E876" s="17" t="s">
        <v>26</v>
      </c>
      <c r="F876" s="17" t="s">
        <v>141</v>
      </c>
      <c r="G876" s="17"/>
      <c r="H876" s="17" t="s">
        <v>26</v>
      </c>
      <c r="I876" s="17" t="s">
        <v>662</v>
      </c>
    </row>
    <row r="877" spans="1:9" ht="15.6">
      <c r="A877" s="17" t="s">
        <v>693</v>
      </c>
      <c r="B877" s="17" t="s">
        <v>63</v>
      </c>
      <c r="C877" s="68">
        <v>9.5333333333333325E-2</v>
      </c>
      <c r="D877" s="59">
        <v>0.3</v>
      </c>
      <c r="E877" s="17" t="s">
        <v>26</v>
      </c>
      <c r="F877" s="17" t="s">
        <v>141</v>
      </c>
      <c r="G877" s="17"/>
      <c r="H877" s="17" t="s">
        <v>26</v>
      </c>
      <c r="I877" s="17" t="s">
        <v>662</v>
      </c>
    </row>
    <row r="878" spans="1:9" ht="15.6">
      <c r="A878" s="17" t="s">
        <v>694</v>
      </c>
      <c r="B878" s="17" t="s">
        <v>63</v>
      </c>
      <c r="C878" s="68">
        <v>0.25666666666666665</v>
      </c>
      <c r="D878" s="59">
        <v>0.3</v>
      </c>
      <c r="E878" s="17" t="s">
        <v>26</v>
      </c>
      <c r="F878" s="17" t="s">
        <v>141</v>
      </c>
      <c r="G878" s="17"/>
      <c r="H878" s="17" t="s">
        <v>26</v>
      </c>
      <c r="I878" s="17" t="s">
        <v>662</v>
      </c>
    </row>
    <row r="879" spans="1:9">
      <c r="A879" s="17" t="s">
        <v>695</v>
      </c>
      <c r="B879" s="17" t="s">
        <v>48</v>
      </c>
      <c r="C879" s="68">
        <v>1.4130062824959537</v>
      </c>
      <c r="D879" s="57">
        <v>0.10557323722897384</v>
      </c>
      <c r="E879" s="17" t="s">
        <v>26</v>
      </c>
      <c r="F879" s="17" t="s">
        <v>167</v>
      </c>
      <c r="G879" s="17" t="s">
        <v>696</v>
      </c>
      <c r="H879" s="17" t="s">
        <v>26</v>
      </c>
      <c r="I879" s="17" t="s">
        <v>662</v>
      </c>
    </row>
    <row r="880" spans="1:9">
      <c r="A880" s="17" t="s">
        <v>697</v>
      </c>
      <c r="B880" s="17" t="s">
        <v>48</v>
      </c>
      <c r="C880" s="68">
        <v>1.0130568446232018</v>
      </c>
      <c r="D880" s="57">
        <v>0.10557323722897384</v>
      </c>
      <c r="E880" s="17" t="s">
        <v>26</v>
      </c>
      <c r="F880" s="17" t="s">
        <v>167</v>
      </c>
      <c r="G880" s="17" t="s">
        <v>696</v>
      </c>
      <c r="H880" s="17" t="s">
        <v>26</v>
      </c>
      <c r="I880" s="17" t="s">
        <v>662</v>
      </c>
    </row>
    <row r="881" spans="1:9" ht="15.6">
      <c r="A881" s="17"/>
      <c r="B881" s="17"/>
      <c r="C881" s="17"/>
      <c r="D881" s="59"/>
      <c r="E881" s="17" t="s">
        <v>26</v>
      </c>
      <c r="F881" s="17"/>
      <c r="G881" s="17"/>
      <c r="H881" s="17"/>
      <c r="I881" s="17"/>
    </row>
    <row r="882" spans="1:9" ht="15.6">
      <c r="A882" s="17" t="s">
        <v>113</v>
      </c>
      <c r="B882" s="17"/>
      <c r="C882" s="17"/>
      <c r="D882" s="59"/>
      <c r="E882" s="17" t="s">
        <v>26</v>
      </c>
      <c r="F882" s="17"/>
      <c r="G882" s="17"/>
      <c r="H882" s="17"/>
      <c r="I882" s="17"/>
    </row>
    <row r="883" spans="1:9" s="108" customFormat="1" ht="15.6">
      <c r="A883" s="105" t="s">
        <v>1587</v>
      </c>
      <c r="B883" s="105" t="s">
        <v>63</v>
      </c>
      <c r="C883" s="123">
        <v>8.3000000000000001E-3</v>
      </c>
      <c r="D883" s="109">
        <v>0.7</v>
      </c>
      <c r="E883" s="105" t="s">
        <v>26</v>
      </c>
      <c r="F883" s="105" t="s">
        <v>1201</v>
      </c>
      <c r="G883" s="105"/>
      <c r="H883" s="105" t="s">
        <v>26</v>
      </c>
      <c r="I883" s="105" t="s">
        <v>698</v>
      </c>
    </row>
    <row r="884" spans="1:9" s="108" customFormat="1" ht="15.6">
      <c r="A884" s="105" t="s">
        <v>1588</v>
      </c>
      <c r="B884" s="105" t="s">
        <v>63</v>
      </c>
      <c r="C884" s="120">
        <v>1.24E-2</v>
      </c>
      <c r="D884" s="109">
        <v>0.7</v>
      </c>
      <c r="E884" s="105" t="s">
        <v>26</v>
      </c>
      <c r="F884" s="105" t="s">
        <v>1201</v>
      </c>
      <c r="G884" s="105"/>
      <c r="H884" s="105" t="s">
        <v>26</v>
      </c>
      <c r="I884" s="105" t="s">
        <v>698</v>
      </c>
    </row>
    <row r="885" spans="1:9" s="108" customFormat="1" ht="15.6">
      <c r="A885" s="105" t="s">
        <v>1589</v>
      </c>
      <c r="B885" s="105" t="s">
        <v>63</v>
      </c>
      <c r="C885" s="123">
        <v>9.5899999999999996E-3</v>
      </c>
      <c r="D885" s="109">
        <v>0.7</v>
      </c>
      <c r="E885" s="105" t="s">
        <v>26</v>
      </c>
      <c r="F885" s="105" t="s">
        <v>1201</v>
      </c>
      <c r="G885" s="105"/>
      <c r="H885" s="105" t="s">
        <v>26</v>
      </c>
      <c r="I885" s="105" t="s">
        <v>698</v>
      </c>
    </row>
    <row r="886" spans="1:9" s="108" customFormat="1" ht="15.6">
      <c r="A886" s="105" t="s">
        <v>1590</v>
      </c>
      <c r="B886" s="105" t="s">
        <v>63</v>
      </c>
      <c r="C886" s="120">
        <v>2.6800000000000001E-2</v>
      </c>
      <c r="D886" s="109">
        <v>0.7</v>
      </c>
      <c r="E886" s="105" t="s">
        <v>26</v>
      </c>
      <c r="F886" s="105" t="s">
        <v>1201</v>
      </c>
      <c r="G886" s="105"/>
      <c r="H886" s="105" t="s">
        <v>26</v>
      </c>
      <c r="I886" s="105" t="s">
        <v>698</v>
      </c>
    </row>
    <row r="887" spans="1:9" s="108" customFormat="1" ht="15.6">
      <c r="A887" s="105" t="s">
        <v>1591</v>
      </c>
      <c r="B887" s="105" t="s">
        <v>63</v>
      </c>
      <c r="C887" s="123">
        <v>3.9899999999999998E-2</v>
      </c>
      <c r="D887" s="109">
        <v>0.7</v>
      </c>
      <c r="E887" s="105" t="s">
        <v>26</v>
      </c>
      <c r="F887" s="105" t="s">
        <v>1201</v>
      </c>
      <c r="G887" s="105"/>
      <c r="H887" s="105" t="s">
        <v>26</v>
      </c>
      <c r="I887" s="105" t="s">
        <v>698</v>
      </c>
    </row>
    <row r="888" spans="1:9" s="108" customFormat="1" ht="15.6">
      <c r="A888" s="105" t="s">
        <v>1592</v>
      </c>
      <c r="B888" s="105" t="s">
        <v>63</v>
      </c>
      <c r="C888" s="120">
        <v>3.1E-2</v>
      </c>
      <c r="D888" s="109">
        <v>0.7</v>
      </c>
      <c r="E888" s="105" t="s">
        <v>26</v>
      </c>
      <c r="F888" s="105" t="s">
        <v>1201</v>
      </c>
      <c r="G888" s="105"/>
      <c r="H888" s="105" t="s">
        <v>26</v>
      </c>
      <c r="I888" s="105" t="s">
        <v>698</v>
      </c>
    </row>
    <row r="889" spans="1:9" s="108" customFormat="1" ht="15.6">
      <c r="A889" s="105" t="s">
        <v>1593</v>
      </c>
      <c r="B889" s="105" t="s">
        <v>63</v>
      </c>
      <c r="C889" s="123">
        <v>3.6700000000000001E-3</v>
      </c>
      <c r="D889" s="109">
        <v>0.7</v>
      </c>
      <c r="E889" s="105" t="s">
        <v>26</v>
      </c>
      <c r="F889" s="105" t="s">
        <v>1201</v>
      </c>
      <c r="G889" s="105"/>
      <c r="H889" s="105" t="s">
        <v>26</v>
      </c>
      <c r="I889" s="105" t="s">
        <v>698</v>
      </c>
    </row>
    <row r="890" spans="1:9" s="108" customFormat="1" ht="15.6">
      <c r="A890" s="105" t="s">
        <v>1594</v>
      </c>
      <c r="B890" s="105" t="s">
        <v>63</v>
      </c>
      <c r="C890" s="120">
        <v>5.4999999999999997E-3</v>
      </c>
      <c r="D890" s="109">
        <v>0.7</v>
      </c>
      <c r="E890" s="105" t="s">
        <v>26</v>
      </c>
      <c r="F890" s="105" t="s">
        <v>1201</v>
      </c>
      <c r="G890" s="105"/>
      <c r="H890" s="105" t="s">
        <v>26</v>
      </c>
      <c r="I890" s="105" t="s">
        <v>698</v>
      </c>
    </row>
    <row r="891" spans="1:9" s="108" customFormat="1" ht="15.6">
      <c r="A891" s="105" t="s">
        <v>1595</v>
      </c>
      <c r="B891" s="105" t="s">
        <v>63</v>
      </c>
      <c r="C891" s="123">
        <v>4.2399999999999998E-3</v>
      </c>
      <c r="D891" s="109">
        <v>0.7</v>
      </c>
      <c r="E891" s="105" t="s">
        <v>26</v>
      </c>
      <c r="F891" s="105" t="s">
        <v>1201</v>
      </c>
      <c r="G891" s="105"/>
      <c r="H891" s="105" t="s">
        <v>26</v>
      </c>
      <c r="I891" s="105" t="s">
        <v>698</v>
      </c>
    </row>
    <row r="892" spans="1:9" ht="15.6">
      <c r="A892" s="17" t="s">
        <v>114</v>
      </c>
      <c r="B892" s="17" t="s">
        <v>63</v>
      </c>
      <c r="C892" s="68">
        <v>1.8333333333333333E-2</v>
      </c>
      <c r="D892" s="59">
        <v>0.3</v>
      </c>
      <c r="E892" s="17" t="s">
        <v>26</v>
      </c>
      <c r="F892" s="17" t="s">
        <v>141</v>
      </c>
      <c r="G892" s="17"/>
      <c r="H892" s="17" t="s">
        <v>26</v>
      </c>
      <c r="I892" s="17" t="s">
        <v>698</v>
      </c>
    </row>
    <row r="893" spans="1:9" ht="15.6">
      <c r="A893" s="17" t="s">
        <v>115</v>
      </c>
      <c r="B893" s="17" t="s">
        <v>63</v>
      </c>
      <c r="C893" s="68">
        <v>1.8447916666666669E-3</v>
      </c>
      <c r="D893" s="59">
        <v>0.3</v>
      </c>
      <c r="E893" s="17" t="s">
        <v>26</v>
      </c>
      <c r="F893" s="17" t="s">
        <v>141</v>
      </c>
      <c r="G893" s="17"/>
      <c r="H893" s="17" t="s">
        <v>26</v>
      </c>
      <c r="I893" s="17" t="s">
        <v>698</v>
      </c>
    </row>
    <row r="894" spans="1:9" s="108" customFormat="1" ht="15.6">
      <c r="A894" s="105" t="s">
        <v>1596</v>
      </c>
      <c r="B894" s="105" t="s">
        <v>48</v>
      </c>
      <c r="C894" s="120">
        <f>16.6*C1349</f>
        <v>0.99434000000000011</v>
      </c>
      <c r="D894" s="109">
        <v>0.3</v>
      </c>
      <c r="E894" s="105" t="s">
        <v>26</v>
      </c>
      <c r="F894" s="105" t="s">
        <v>671</v>
      </c>
      <c r="G894" s="105" t="s">
        <v>699</v>
      </c>
      <c r="H894" s="105" t="s">
        <v>26</v>
      </c>
      <c r="I894" s="105" t="s">
        <v>698</v>
      </c>
    </row>
    <row r="895" spans="1:9" s="108" customFormat="1" ht="15.6">
      <c r="A895" s="105" t="s">
        <v>700</v>
      </c>
      <c r="B895" s="105" t="s">
        <v>48</v>
      </c>
      <c r="C895" s="120">
        <f>16.74*C1349</f>
        <v>1.002726</v>
      </c>
      <c r="D895" s="109">
        <v>0.3</v>
      </c>
      <c r="E895" s="105" t="s">
        <v>26</v>
      </c>
      <c r="F895" s="105" t="s">
        <v>671</v>
      </c>
      <c r="G895" s="105" t="s">
        <v>701</v>
      </c>
      <c r="H895" s="105" t="s">
        <v>26</v>
      </c>
      <c r="I895" s="105" t="s">
        <v>698</v>
      </c>
    </row>
    <row r="896" spans="1:9" s="108" customFormat="1" ht="15.6">
      <c r="A896" s="105" t="s">
        <v>702</v>
      </c>
      <c r="B896" s="105" t="s">
        <v>48</v>
      </c>
      <c r="C896" s="120">
        <f>16.68*C1349</f>
        <v>0.99913200000000002</v>
      </c>
      <c r="D896" s="109">
        <v>0.3</v>
      </c>
      <c r="E896" s="105" t="s">
        <v>26</v>
      </c>
      <c r="F896" s="105" t="s">
        <v>671</v>
      </c>
      <c r="G896" s="105" t="s">
        <v>703</v>
      </c>
      <c r="H896" s="105" t="s">
        <v>26</v>
      </c>
      <c r="I896" s="105" t="s">
        <v>698</v>
      </c>
    </row>
    <row r="897" spans="1:9" s="108" customFormat="1" ht="15.6">
      <c r="A897" s="105" t="s">
        <v>704</v>
      </c>
      <c r="B897" s="105" t="s">
        <v>48</v>
      </c>
      <c r="C897" s="120">
        <f>C1250*3.85</f>
        <v>14.5145</v>
      </c>
      <c r="D897" s="109">
        <v>0.3</v>
      </c>
      <c r="E897" s="105" t="s">
        <v>26</v>
      </c>
      <c r="F897" s="105" t="s">
        <v>671</v>
      </c>
      <c r="G897" s="105" t="s">
        <v>699</v>
      </c>
      <c r="H897" s="105" t="s">
        <v>26</v>
      </c>
      <c r="I897" s="105" t="s">
        <v>698</v>
      </c>
    </row>
    <row r="898" spans="1:9" s="108" customFormat="1" ht="15.6">
      <c r="A898" s="105" t="s">
        <v>705</v>
      </c>
      <c r="B898" s="105" t="s">
        <v>48</v>
      </c>
      <c r="C898" s="120">
        <f>C1250*3.88</f>
        <v>14.627599999999999</v>
      </c>
      <c r="D898" s="109">
        <v>0.3</v>
      </c>
      <c r="E898" s="105" t="s">
        <v>26</v>
      </c>
      <c r="F898" s="105" t="s">
        <v>671</v>
      </c>
      <c r="G898" s="105" t="s">
        <v>701</v>
      </c>
      <c r="H898" s="105" t="s">
        <v>26</v>
      </c>
      <c r="I898" s="105" t="s">
        <v>698</v>
      </c>
    </row>
    <row r="899" spans="1:9" s="108" customFormat="1" ht="15.6">
      <c r="A899" s="105" t="s">
        <v>706</v>
      </c>
      <c r="B899" s="105" t="s">
        <v>48</v>
      </c>
      <c r="C899" s="120">
        <f>C1250*3.86</f>
        <v>14.552199999999999</v>
      </c>
      <c r="D899" s="109">
        <v>0.3</v>
      </c>
      <c r="E899" s="105" t="s">
        <v>26</v>
      </c>
      <c r="F899" s="105" t="s">
        <v>671</v>
      </c>
      <c r="G899" s="105" t="s">
        <v>703</v>
      </c>
      <c r="H899" s="105" t="s">
        <v>26</v>
      </c>
      <c r="I899" s="105" t="s">
        <v>698</v>
      </c>
    </row>
    <row r="900" spans="1:9" s="108" customFormat="1" ht="15.6">
      <c r="A900" s="105" t="s">
        <v>707</v>
      </c>
      <c r="B900" s="105" t="s">
        <v>48</v>
      </c>
      <c r="C900" s="120">
        <f>14.94*C1349+C1250*0.38</f>
        <v>2.3275060000000001</v>
      </c>
      <c r="D900" s="109">
        <v>0.3</v>
      </c>
      <c r="E900" s="105" t="s">
        <v>26</v>
      </c>
      <c r="F900" s="105" t="s">
        <v>671</v>
      </c>
      <c r="G900" s="105" t="s">
        <v>699</v>
      </c>
      <c r="H900" s="105" t="s">
        <v>26</v>
      </c>
      <c r="I900" s="105" t="s">
        <v>698</v>
      </c>
    </row>
    <row r="901" spans="1:9" s="108" customFormat="1" ht="15.6">
      <c r="A901" s="105" t="s">
        <v>708</v>
      </c>
      <c r="B901" s="105" t="s">
        <v>48</v>
      </c>
      <c r="C901" s="120">
        <f>15.07*C1349+C1250*0.39</f>
        <v>2.3729930000000001</v>
      </c>
      <c r="D901" s="109">
        <v>0.3</v>
      </c>
      <c r="E901" s="105" t="s">
        <v>26</v>
      </c>
      <c r="F901" s="105" t="s">
        <v>671</v>
      </c>
      <c r="G901" s="105" t="s">
        <v>701</v>
      </c>
      <c r="H901" s="105" t="s">
        <v>26</v>
      </c>
      <c r="I901" s="105" t="s">
        <v>698</v>
      </c>
    </row>
    <row r="902" spans="1:9" s="108" customFormat="1" ht="15.6">
      <c r="A902" s="105" t="s">
        <v>709</v>
      </c>
      <c r="B902" s="105" t="s">
        <v>48</v>
      </c>
      <c r="C902" s="120">
        <f>15.01*C1349+C1250*0.39</f>
        <v>2.369399</v>
      </c>
      <c r="D902" s="109">
        <v>0.3</v>
      </c>
      <c r="E902" s="105" t="s">
        <v>26</v>
      </c>
      <c r="F902" s="105" t="s">
        <v>671</v>
      </c>
      <c r="G902" s="105" t="s">
        <v>703</v>
      </c>
      <c r="H902" s="105" t="s">
        <v>26</v>
      </c>
      <c r="I902" s="105" t="s">
        <v>698</v>
      </c>
    </row>
    <row r="903" spans="1:9" ht="15.6">
      <c r="A903" s="17" t="s">
        <v>710</v>
      </c>
      <c r="B903" s="17" t="s">
        <v>63</v>
      </c>
      <c r="C903" s="68">
        <v>3.9480000000000001E-2</v>
      </c>
      <c r="D903" s="59">
        <v>0.3</v>
      </c>
      <c r="E903" s="17" t="s">
        <v>26</v>
      </c>
      <c r="F903" s="17" t="s">
        <v>140</v>
      </c>
      <c r="G903" s="17" t="s">
        <v>711</v>
      </c>
      <c r="H903" s="17" t="s">
        <v>26</v>
      </c>
      <c r="I903" s="17" t="s">
        <v>698</v>
      </c>
    </row>
    <row r="904" spans="1:9" s="108" customFormat="1">
      <c r="A904" s="105" t="s">
        <v>712</v>
      </c>
      <c r="B904" s="105" t="s">
        <v>63</v>
      </c>
      <c r="C904" s="120">
        <v>2.2599999999999999E-2</v>
      </c>
      <c r="D904" s="107">
        <v>0.5</v>
      </c>
      <c r="E904" s="105" t="s">
        <v>26</v>
      </c>
      <c r="F904" s="105" t="s">
        <v>1201</v>
      </c>
      <c r="G904" s="105"/>
      <c r="H904" s="105" t="s">
        <v>26</v>
      </c>
      <c r="I904" s="105" t="s">
        <v>698</v>
      </c>
    </row>
    <row r="905" spans="1:9" s="108" customFormat="1">
      <c r="A905" s="105" t="s">
        <v>713</v>
      </c>
      <c r="B905" s="105" t="s">
        <v>63</v>
      </c>
      <c r="C905" s="120">
        <v>9.5899999999999996E-3</v>
      </c>
      <c r="D905" s="107">
        <v>0.7</v>
      </c>
      <c r="E905" s="105" t="s">
        <v>26</v>
      </c>
      <c r="F905" s="105" t="s">
        <v>1201</v>
      </c>
      <c r="G905" s="105"/>
      <c r="H905" s="105" t="s">
        <v>26</v>
      </c>
      <c r="I905" s="105" t="s">
        <v>698</v>
      </c>
    </row>
    <row r="906" spans="1:9">
      <c r="A906" s="17" t="s">
        <v>714</v>
      </c>
      <c r="B906" s="17" t="s">
        <v>63</v>
      </c>
      <c r="C906" s="68">
        <v>1.01E-2</v>
      </c>
      <c r="D906" s="57">
        <v>0.2</v>
      </c>
      <c r="E906" s="17" t="s">
        <v>26</v>
      </c>
      <c r="F906" s="17" t="s">
        <v>167</v>
      </c>
      <c r="G906" s="17"/>
      <c r="H906" s="17" t="s">
        <v>26</v>
      </c>
      <c r="I906" s="17" t="s">
        <v>698</v>
      </c>
    </row>
    <row r="907" spans="1:9">
      <c r="A907" s="17" t="s">
        <v>715</v>
      </c>
      <c r="B907" s="17" t="s">
        <v>63</v>
      </c>
      <c r="C907" s="68">
        <v>4.3999999999999994E-3</v>
      </c>
      <c r="D907" s="57">
        <v>0.2</v>
      </c>
      <c r="E907" s="17" t="s">
        <v>26</v>
      </c>
      <c r="F907" s="17" t="s">
        <v>167</v>
      </c>
      <c r="G907" s="17"/>
      <c r="H907" s="17" t="s">
        <v>26</v>
      </c>
      <c r="I907" s="17" t="s">
        <v>698</v>
      </c>
    </row>
    <row r="908" spans="1:9">
      <c r="A908" s="17" t="s">
        <v>716</v>
      </c>
      <c r="B908" s="17" t="s">
        <v>63</v>
      </c>
      <c r="C908" s="68">
        <v>7.3333333333333334E-2</v>
      </c>
      <c r="D908" s="57">
        <v>0.2</v>
      </c>
      <c r="E908" s="17" t="s">
        <v>26</v>
      </c>
      <c r="F908" s="17" t="s">
        <v>135</v>
      </c>
      <c r="G908" s="17"/>
      <c r="H908" s="17" t="s">
        <v>26</v>
      </c>
      <c r="I908" s="17" t="s">
        <v>698</v>
      </c>
    </row>
    <row r="909" spans="1:9">
      <c r="A909" s="17" t="s">
        <v>717</v>
      </c>
      <c r="B909" s="17" t="s">
        <v>63</v>
      </c>
      <c r="C909" s="68">
        <v>1.47E-2</v>
      </c>
      <c r="D909" s="57">
        <v>0.2</v>
      </c>
      <c r="E909" s="17" t="s">
        <v>26</v>
      </c>
      <c r="F909" s="17" t="s">
        <v>167</v>
      </c>
      <c r="G909" s="17"/>
      <c r="H909" s="17" t="s">
        <v>26</v>
      </c>
      <c r="I909" s="17" t="s">
        <v>698</v>
      </c>
    </row>
    <row r="910" spans="1:9">
      <c r="A910" s="17"/>
      <c r="B910" s="17"/>
      <c r="C910" s="17"/>
      <c r="D910" s="57"/>
      <c r="E910" s="17" t="s">
        <v>26</v>
      </c>
      <c r="F910" s="17"/>
      <c r="G910" s="17"/>
      <c r="H910" s="17"/>
      <c r="I910" s="17"/>
    </row>
    <row r="911" spans="1:9">
      <c r="A911" s="17" t="s">
        <v>718</v>
      </c>
      <c r="B911" s="17"/>
      <c r="C911" s="17"/>
      <c r="D911" s="57"/>
      <c r="E911" s="17" t="s">
        <v>26</v>
      </c>
      <c r="F911" s="17"/>
      <c r="G911" s="17"/>
      <c r="H911" s="17"/>
      <c r="I911" s="17"/>
    </row>
    <row r="912" spans="1:9" s="108" customFormat="1" ht="15.6">
      <c r="A912" s="105" t="s">
        <v>719</v>
      </c>
      <c r="B912" s="105" t="s">
        <v>48</v>
      </c>
      <c r="C912" s="124">
        <f>33.51*C1284+4.28*C1302</f>
        <v>111.2383</v>
      </c>
      <c r="D912" s="109">
        <v>0.3</v>
      </c>
      <c r="E912" s="105" t="s">
        <v>26</v>
      </c>
      <c r="F912" s="105" t="s">
        <v>671</v>
      </c>
      <c r="G912" s="105" t="s">
        <v>720</v>
      </c>
      <c r="H912" s="105" t="s">
        <v>26</v>
      </c>
      <c r="I912" s="105" t="s">
        <v>721</v>
      </c>
    </row>
    <row r="913" spans="1:9" s="108" customFormat="1" ht="15.6">
      <c r="A913" s="105" t="s">
        <v>722</v>
      </c>
      <c r="B913" s="105" t="s">
        <v>48</v>
      </c>
      <c r="C913" s="124">
        <f>18.45*C1284+12.04*C1302</f>
        <v>90.780499999999989</v>
      </c>
      <c r="D913" s="109">
        <v>0.3</v>
      </c>
      <c r="E913" s="105" t="s">
        <v>26</v>
      </c>
      <c r="F913" s="105" t="s">
        <v>671</v>
      </c>
      <c r="G913" s="105" t="s">
        <v>723</v>
      </c>
      <c r="H913" s="105" t="s">
        <v>26</v>
      </c>
      <c r="I913" s="105" t="s">
        <v>721</v>
      </c>
    </row>
    <row r="914" spans="1:9" ht="15.6">
      <c r="A914" s="17" t="s">
        <v>724</v>
      </c>
      <c r="B914" s="17" t="s">
        <v>48</v>
      </c>
      <c r="C914" s="69">
        <v>98.361999999999995</v>
      </c>
      <c r="D914" s="59">
        <v>0.3</v>
      </c>
      <c r="E914" s="17" t="s">
        <v>26</v>
      </c>
      <c r="F914" s="17" t="s">
        <v>671</v>
      </c>
      <c r="G914" s="17" t="s">
        <v>725</v>
      </c>
      <c r="H914" s="17" t="s">
        <v>26</v>
      </c>
      <c r="I914" s="17" t="s">
        <v>721</v>
      </c>
    </row>
    <row r="915" spans="1:9" ht="15.6">
      <c r="A915" s="17" t="s">
        <v>726</v>
      </c>
      <c r="B915" s="17" t="s">
        <v>48</v>
      </c>
      <c r="C915" s="69">
        <v>322.2</v>
      </c>
      <c r="D915" s="59">
        <v>0.3</v>
      </c>
      <c r="E915" s="17" t="s">
        <v>26</v>
      </c>
      <c r="F915" s="17" t="s">
        <v>671</v>
      </c>
      <c r="G915" s="17" t="s">
        <v>727</v>
      </c>
      <c r="H915" s="17" t="s">
        <v>26</v>
      </c>
      <c r="I915" s="17" t="s">
        <v>721</v>
      </c>
    </row>
    <row r="916" spans="1:9" ht="15.6">
      <c r="A916" s="17" t="s">
        <v>728</v>
      </c>
      <c r="B916" s="17" t="s">
        <v>48</v>
      </c>
      <c r="C916" s="69">
        <v>45.824000000000005</v>
      </c>
      <c r="D916" s="59">
        <v>0.3</v>
      </c>
      <c r="E916" s="17" t="s">
        <v>26</v>
      </c>
      <c r="F916" s="17" t="s">
        <v>671</v>
      </c>
      <c r="G916" s="17" t="s">
        <v>729</v>
      </c>
      <c r="H916" s="17" t="s">
        <v>26</v>
      </c>
      <c r="I916" s="17" t="s">
        <v>721</v>
      </c>
    </row>
    <row r="917" spans="1:9" s="108" customFormat="1" ht="15.6">
      <c r="A917" s="105" t="s">
        <v>1597</v>
      </c>
      <c r="B917" s="105" t="s">
        <v>63</v>
      </c>
      <c r="C917" s="124">
        <v>6.0600000000000001E-2</v>
      </c>
      <c r="D917" s="109">
        <v>0.6</v>
      </c>
      <c r="E917" s="105" t="s">
        <v>26</v>
      </c>
      <c r="F917" s="105" t="s">
        <v>1201</v>
      </c>
      <c r="G917" s="105"/>
      <c r="H917" s="105" t="s">
        <v>26</v>
      </c>
      <c r="I917" s="105" t="s">
        <v>721</v>
      </c>
    </row>
    <row r="918" spans="1:9" s="108" customFormat="1" ht="15.6">
      <c r="A918" s="105" t="s">
        <v>1598</v>
      </c>
      <c r="B918" s="105" t="s">
        <v>63</v>
      </c>
      <c r="C918" s="124">
        <v>2.07E-2</v>
      </c>
      <c r="D918" s="109">
        <v>0.6</v>
      </c>
      <c r="E918" s="105" t="s">
        <v>26</v>
      </c>
      <c r="F918" s="105" t="s">
        <v>1201</v>
      </c>
      <c r="G918" s="105"/>
      <c r="H918" s="105" t="s">
        <v>26</v>
      </c>
      <c r="I918" s="105" t="s">
        <v>721</v>
      </c>
    </row>
    <row r="919" spans="1:9" s="108" customFormat="1" ht="15.6">
      <c r="A919" s="105" t="s">
        <v>1599</v>
      </c>
      <c r="B919" s="105" t="s">
        <v>63</v>
      </c>
      <c r="C919" s="124">
        <v>8.8400000000000006E-3</v>
      </c>
      <c r="D919" s="109">
        <v>0.6</v>
      </c>
      <c r="E919" s="105" t="s">
        <v>26</v>
      </c>
      <c r="F919" s="105" t="s">
        <v>1201</v>
      </c>
      <c r="G919" s="105"/>
      <c r="H919" s="105" t="s">
        <v>26</v>
      </c>
      <c r="I919" s="105" t="s">
        <v>721</v>
      </c>
    </row>
    <row r="920" spans="1:9" s="108" customFormat="1" ht="15.6">
      <c r="A920" s="105" t="s">
        <v>1600</v>
      </c>
      <c r="B920" s="105" t="s">
        <v>63</v>
      </c>
      <c r="C920" s="124">
        <v>2.5999999999999999E-3</v>
      </c>
      <c r="D920" s="109">
        <v>0.6</v>
      </c>
      <c r="E920" s="105" t="s">
        <v>26</v>
      </c>
      <c r="F920" s="105" t="s">
        <v>1201</v>
      </c>
      <c r="G920" s="105"/>
      <c r="H920" s="105" t="s">
        <v>26</v>
      </c>
      <c r="I920" s="105" t="s">
        <v>721</v>
      </c>
    </row>
    <row r="921" spans="1:9" s="108" customFormat="1" ht="15.6">
      <c r="A921" s="105" t="s">
        <v>1601</v>
      </c>
      <c r="B921" s="105" t="s">
        <v>63</v>
      </c>
      <c r="C921" s="124">
        <v>2.6099999999999999E-3</v>
      </c>
      <c r="D921" s="109">
        <v>0.6</v>
      </c>
      <c r="E921" s="105" t="s">
        <v>26</v>
      </c>
      <c r="F921" s="105" t="s">
        <v>1201</v>
      </c>
      <c r="G921" s="105"/>
      <c r="H921" s="105" t="s">
        <v>26</v>
      </c>
      <c r="I921" s="105" t="s">
        <v>721</v>
      </c>
    </row>
    <row r="922" spans="1:9" s="108" customFormat="1" ht="30.6">
      <c r="A922" s="115" t="s">
        <v>730</v>
      </c>
      <c r="B922" s="105" t="s">
        <v>48</v>
      </c>
      <c r="C922" s="124">
        <f>133*C1284+0*C1302</f>
        <v>389.69</v>
      </c>
      <c r="D922" s="109">
        <v>0.3</v>
      </c>
      <c r="E922" s="105" t="s">
        <v>26</v>
      </c>
      <c r="F922" s="105" t="s">
        <v>1602</v>
      </c>
      <c r="G922" s="105" t="s">
        <v>731</v>
      </c>
      <c r="H922" s="105" t="s">
        <v>26</v>
      </c>
      <c r="I922" s="105" t="s">
        <v>721</v>
      </c>
    </row>
    <row r="923" spans="1:9" s="108" customFormat="1" ht="30.6">
      <c r="A923" s="115" t="s">
        <v>732</v>
      </c>
      <c r="B923" s="105" t="s">
        <v>48</v>
      </c>
      <c r="C923" s="124">
        <f>72.5*C1284</f>
        <v>212.42500000000001</v>
      </c>
      <c r="D923" s="109">
        <v>0.3</v>
      </c>
      <c r="E923" s="105" t="s">
        <v>26</v>
      </c>
      <c r="F923" s="105" t="s">
        <v>1602</v>
      </c>
      <c r="G923" s="105" t="s">
        <v>733</v>
      </c>
      <c r="H923" s="105" t="s">
        <v>26</v>
      </c>
      <c r="I923" s="105" t="s">
        <v>721</v>
      </c>
    </row>
    <row r="924" spans="1:9" s="108" customFormat="1" ht="30.6">
      <c r="A924" s="115" t="s">
        <v>734</v>
      </c>
      <c r="B924" s="105" t="s">
        <v>48</v>
      </c>
      <c r="C924" s="124">
        <f>76*C1284+3.4*C1302</f>
        <v>233.05</v>
      </c>
      <c r="D924" s="109">
        <v>0.3</v>
      </c>
      <c r="E924" s="105" t="s">
        <v>26</v>
      </c>
      <c r="F924" s="105" t="s">
        <v>1602</v>
      </c>
      <c r="G924" s="105" t="s">
        <v>735</v>
      </c>
      <c r="H924" s="105" t="s">
        <v>26</v>
      </c>
      <c r="I924" s="105" t="s">
        <v>721</v>
      </c>
    </row>
    <row r="925" spans="1:9" s="108" customFormat="1" ht="30.6">
      <c r="A925" s="115" t="s">
        <v>736</v>
      </c>
      <c r="B925" s="105" t="s">
        <v>48</v>
      </c>
      <c r="C925" s="124">
        <f>55*C1284+0.5*C1302</f>
        <v>162.67500000000001</v>
      </c>
      <c r="D925" s="109">
        <v>0.3</v>
      </c>
      <c r="E925" s="105" t="s">
        <v>26</v>
      </c>
      <c r="F925" s="105" t="s">
        <v>1602</v>
      </c>
      <c r="G925" s="105" t="s">
        <v>737</v>
      </c>
      <c r="H925" s="105" t="s">
        <v>26</v>
      </c>
      <c r="I925" s="105" t="s">
        <v>721</v>
      </c>
    </row>
    <row r="926" spans="1:9" s="108" customFormat="1" ht="15.6">
      <c r="A926" s="105" t="s">
        <v>1603</v>
      </c>
      <c r="B926" s="105" t="s">
        <v>63</v>
      </c>
      <c r="C926" s="124">
        <v>5.5399999999999998E-3</v>
      </c>
      <c r="D926" s="109">
        <v>0.6</v>
      </c>
      <c r="E926" s="105" t="s">
        <v>26</v>
      </c>
      <c r="F926" s="105" t="s">
        <v>1201</v>
      </c>
      <c r="G926" s="105"/>
      <c r="H926" s="105" t="s">
        <v>26</v>
      </c>
      <c r="I926" s="105" t="s">
        <v>721</v>
      </c>
    </row>
    <row r="927" spans="1:9" s="108" customFormat="1" ht="15.6">
      <c r="A927" s="105" t="s">
        <v>1604</v>
      </c>
      <c r="B927" s="105" t="s">
        <v>63</v>
      </c>
      <c r="C927" s="124">
        <v>6.9499999999999996E-3</v>
      </c>
      <c r="D927" s="109">
        <v>0.6</v>
      </c>
      <c r="E927" s="105" t="s">
        <v>26</v>
      </c>
      <c r="F927" s="105" t="s">
        <v>1201</v>
      </c>
      <c r="G927" s="105"/>
      <c r="H927" s="105" t="s">
        <v>26</v>
      </c>
      <c r="I927" s="105" t="s">
        <v>721</v>
      </c>
    </row>
    <row r="928" spans="1:9" s="108" customFormat="1" ht="15.6">
      <c r="A928" s="105" t="s">
        <v>1605</v>
      </c>
      <c r="B928" s="105" t="s">
        <v>63</v>
      </c>
      <c r="C928" s="124">
        <v>1.09E-2</v>
      </c>
      <c r="D928" s="109">
        <v>0.6</v>
      </c>
      <c r="E928" s="105" t="s">
        <v>26</v>
      </c>
      <c r="F928" s="105" t="s">
        <v>1201</v>
      </c>
      <c r="G928" s="105"/>
      <c r="H928" s="105" t="s">
        <v>26</v>
      </c>
      <c r="I928" s="105" t="s">
        <v>721</v>
      </c>
    </row>
    <row r="929" spans="1:9" s="108" customFormat="1" ht="15.6">
      <c r="A929" s="105" t="s">
        <v>1606</v>
      </c>
      <c r="B929" s="105" t="s">
        <v>63</v>
      </c>
      <c r="C929" s="124">
        <v>8.7899999999999992E-3</v>
      </c>
      <c r="D929" s="109">
        <v>0.6</v>
      </c>
      <c r="E929" s="105" t="s">
        <v>26</v>
      </c>
      <c r="F929" s="105" t="s">
        <v>1201</v>
      </c>
      <c r="G929" s="105"/>
      <c r="H929" s="105" t="s">
        <v>26</v>
      </c>
      <c r="I929" s="105" t="s">
        <v>721</v>
      </c>
    </row>
    <row r="930" spans="1:9" s="108" customFormat="1" ht="15.6">
      <c r="A930" s="105" t="s">
        <v>1607</v>
      </c>
      <c r="B930" s="105" t="s">
        <v>63</v>
      </c>
      <c r="C930" s="124">
        <v>7.1700000000000002E-3</v>
      </c>
      <c r="D930" s="109">
        <v>0.6</v>
      </c>
      <c r="E930" s="105" t="s">
        <v>26</v>
      </c>
      <c r="F930" s="105" t="s">
        <v>1201</v>
      </c>
      <c r="G930" s="105"/>
      <c r="H930" s="105" t="s">
        <v>26</v>
      </c>
      <c r="I930" s="105" t="s">
        <v>721</v>
      </c>
    </row>
    <row r="931" spans="1:9" s="108" customFormat="1" ht="15.6">
      <c r="A931" s="105" t="s">
        <v>1608</v>
      </c>
      <c r="B931" s="105" t="s">
        <v>63</v>
      </c>
      <c r="C931" s="124">
        <v>1.2E-2</v>
      </c>
      <c r="D931" s="109">
        <v>0.6</v>
      </c>
      <c r="E931" s="105" t="s">
        <v>26</v>
      </c>
      <c r="F931" s="105" t="s">
        <v>1201</v>
      </c>
      <c r="G931" s="105"/>
      <c r="H931" s="105" t="s">
        <v>26</v>
      </c>
      <c r="I931" s="105" t="s">
        <v>721</v>
      </c>
    </row>
    <row r="932" spans="1:9" s="108" customFormat="1" ht="15.6">
      <c r="A932" s="105" t="s">
        <v>1609</v>
      </c>
      <c r="B932" s="105" t="s">
        <v>63</v>
      </c>
      <c r="C932" s="124">
        <v>1.09E-2</v>
      </c>
      <c r="D932" s="109">
        <v>0.6</v>
      </c>
      <c r="E932" s="105" t="s">
        <v>26</v>
      </c>
      <c r="F932" s="105" t="s">
        <v>1201</v>
      </c>
      <c r="G932" s="105"/>
      <c r="H932" s="105" t="s">
        <v>26</v>
      </c>
      <c r="I932" s="105" t="s">
        <v>721</v>
      </c>
    </row>
    <row r="933" spans="1:9" s="108" customFormat="1" ht="15.6">
      <c r="A933" s="105" t="s">
        <v>1610</v>
      </c>
      <c r="B933" s="105" t="s">
        <v>63</v>
      </c>
      <c r="C933" s="124">
        <v>1.0500000000000001E-2</v>
      </c>
      <c r="D933" s="109">
        <v>0.6</v>
      </c>
      <c r="E933" s="105" t="s">
        <v>26</v>
      </c>
      <c r="F933" s="105" t="s">
        <v>1201</v>
      </c>
      <c r="G933" s="105"/>
      <c r="H933" s="105" t="s">
        <v>26</v>
      </c>
      <c r="I933" s="105" t="s">
        <v>721</v>
      </c>
    </row>
    <row r="934" spans="1:9" s="108" customFormat="1" ht="15.6">
      <c r="A934" s="105" t="s">
        <v>1611</v>
      </c>
      <c r="B934" s="105" t="s">
        <v>63</v>
      </c>
      <c r="C934" s="124">
        <v>1.09E-2</v>
      </c>
      <c r="D934" s="109">
        <v>0.6</v>
      </c>
      <c r="E934" s="105" t="s">
        <v>26</v>
      </c>
      <c r="F934" s="105" t="s">
        <v>1201</v>
      </c>
      <c r="G934" s="105"/>
      <c r="H934" s="105" t="s">
        <v>26</v>
      </c>
      <c r="I934" s="105" t="s">
        <v>721</v>
      </c>
    </row>
    <row r="935" spans="1:9" s="108" customFormat="1" ht="15.6">
      <c r="A935" s="105" t="s">
        <v>1612</v>
      </c>
      <c r="B935" s="105" t="s">
        <v>63</v>
      </c>
      <c r="C935" s="124">
        <v>1.52E-2</v>
      </c>
      <c r="D935" s="109">
        <v>0.6</v>
      </c>
      <c r="E935" s="105" t="s">
        <v>26</v>
      </c>
      <c r="F935" s="105" t="s">
        <v>1201</v>
      </c>
      <c r="G935" s="105"/>
      <c r="H935" s="105" t="s">
        <v>26</v>
      </c>
      <c r="I935" s="105" t="s">
        <v>721</v>
      </c>
    </row>
    <row r="936" spans="1:9" s="108" customFormat="1" ht="15.6">
      <c r="A936" s="105" t="s">
        <v>1613</v>
      </c>
      <c r="B936" s="105" t="s">
        <v>63</v>
      </c>
      <c r="C936" s="124">
        <v>1.6299999999999999E-2</v>
      </c>
      <c r="D936" s="109">
        <v>0.6</v>
      </c>
      <c r="E936" s="105" t="s">
        <v>26</v>
      </c>
      <c r="F936" s="105" t="s">
        <v>1201</v>
      </c>
      <c r="G936" s="105"/>
      <c r="H936" s="105" t="s">
        <v>26</v>
      </c>
      <c r="I936" s="105" t="s">
        <v>721</v>
      </c>
    </row>
    <row r="937" spans="1:9" s="108" customFormat="1" ht="15.6">
      <c r="A937" s="105" t="s">
        <v>1614</v>
      </c>
      <c r="B937" s="105" t="s">
        <v>63</v>
      </c>
      <c r="C937" s="124">
        <v>1.09E-2</v>
      </c>
      <c r="D937" s="109">
        <v>0.6</v>
      </c>
      <c r="E937" s="105" t="s">
        <v>26</v>
      </c>
      <c r="F937" s="105" t="s">
        <v>1201</v>
      </c>
      <c r="G937" s="105"/>
      <c r="H937" s="105" t="s">
        <v>26</v>
      </c>
      <c r="I937" s="105" t="s">
        <v>721</v>
      </c>
    </row>
    <row r="938" spans="1:9" s="108" customFormat="1" ht="15.6">
      <c r="A938" s="105" t="s">
        <v>1615</v>
      </c>
      <c r="B938" s="105" t="s">
        <v>63</v>
      </c>
      <c r="C938" s="124">
        <v>9.3399999999999993E-3</v>
      </c>
      <c r="D938" s="109">
        <v>0.6</v>
      </c>
      <c r="E938" s="105" t="s">
        <v>26</v>
      </c>
      <c r="F938" s="105" t="s">
        <v>1201</v>
      </c>
      <c r="G938" s="105"/>
      <c r="H938" s="105" t="s">
        <v>26</v>
      </c>
      <c r="I938" s="105" t="s">
        <v>721</v>
      </c>
    </row>
    <row r="939" spans="1:9" s="108" customFormat="1" ht="15.6">
      <c r="A939" s="105" t="s">
        <v>1616</v>
      </c>
      <c r="B939" s="105" t="s">
        <v>63</v>
      </c>
      <c r="C939" s="124">
        <v>1.0699999999999999E-2</v>
      </c>
      <c r="D939" s="109">
        <v>0.6</v>
      </c>
      <c r="E939" s="105" t="s">
        <v>26</v>
      </c>
      <c r="F939" s="105" t="s">
        <v>1201</v>
      </c>
      <c r="G939" s="105"/>
      <c r="H939" s="105" t="s">
        <v>26</v>
      </c>
      <c r="I939" s="105" t="s">
        <v>721</v>
      </c>
    </row>
    <row r="940" spans="1:9" s="108" customFormat="1" ht="15.6">
      <c r="A940" s="105" t="s">
        <v>1617</v>
      </c>
      <c r="B940" s="105" t="s">
        <v>63</v>
      </c>
      <c r="C940" s="124">
        <v>7.3800000000000003E-3</v>
      </c>
      <c r="D940" s="109">
        <v>0.6</v>
      </c>
      <c r="E940" s="105" t="s">
        <v>26</v>
      </c>
      <c r="F940" s="105" t="s">
        <v>1201</v>
      </c>
      <c r="G940" s="105"/>
      <c r="H940" s="105" t="s">
        <v>26</v>
      </c>
      <c r="I940" s="105" t="s">
        <v>721</v>
      </c>
    </row>
    <row r="941" spans="1:9" s="108" customFormat="1" ht="15.6">
      <c r="A941" s="105" t="s">
        <v>1618</v>
      </c>
      <c r="B941" s="105" t="s">
        <v>63</v>
      </c>
      <c r="C941" s="124">
        <v>8.4700000000000001E-3</v>
      </c>
      <c r="D941" s="109">
        <v>0.6</v>
      </c>
      <c r="E941" s="105" t="s">
        <v>26</v>
      </c>
      <c r="F941" s="105" t="s">
        <v>1201</v>
      </c>
      <c r="G941" s="105"/>
      <c r="H941" s="105" t="s">
        <v>26</v>
      </c>
      <c r="I941" s="105" t="s">
        <v>721</v>
      </c>
    </row>
    <row r="942" spans="1:9" s="108" customFormat="1" ht="30.6">
      <c r="A942" s="115" t="s">
        <v>739</v>
      </c>
      <c r="B942" s="105" t="s">
        <v>48</v>
      </c>
      <c r="C942" s="124">
        <f>66.3*C1284+0*C1302</f>
        <v>194.25900000000001</v>
      </c>
      <c r="D942" s="109">
        <v>0.3</v>
      </c>
      <c r="E942" s="105" t="s">
        <v>26</v>
      </c>
      <c r="F942" s="105" t="s">
        <v>671</v>
      </c>
      <c r="G942" s="105" t="s">
        <v>740</v>
      </c>
      <c r="H942" s="105" t="s">
        <v>26</v>
      </c>
      <c r="I942" s="105" t="s">
        <v>721</v>
      </c>
    </row>
    <row r="943" spans="1:9" s="108" customFormat="1" ht="30.6">
      <c r="A943" s="115" t="s">
        <v>741</v>
      </c>
      <c r="B943" s="105" t="s">
        <v>48</v>
      </c>
      <c r="C943" s="124">
        <f>103.7*C1284+0*C1302</f>
        <v>303.84100000000001</v>
      </c>
      <c r="D943" s="109">
        <v>0.3</v>
      </c>
      <c r="E943" s="105" t="s">
        <v>26</v>
      </c>
      <c r="F943" s="105" t="s">
        <v>671</v>
      </c>
      <c r="G943" s="105" t="s">
        <v>742</v>
      </c>
      <c r="H943" s="105" t="s">
        <v>26</v>
      </c>
      <c r="I943" s="105" t="s">
        <v>721</v>
      </c>
    </row>
    <row r="944" spans="1:9" s="108" customFormat="1" ht="30.6">
      <c r="A944" s="115" t="s">
        <v>743</v>
      </c>
      <c r="B944" s="105" t="s">
        <v>48</v>
      </c>
      <c r="C944" s="124">
        <f>174*C1284+0*C1302</f>
        <v>509.82000000000005</v>
      </c>
      <c r="D944" s="109">
        <v>0.3</v>
      </c>
      <c r="E944" s="105" t="s">
        <v>26</v>
      </c>
      <c r="F944" s="105" t="s">
        <v>671</v>
      </c>
      <c r="G944" s="105" t="s">
        <v>744</v>
      </c>
      <c r="H944" s="105" t="s">
        <v>26</v>
      </c>
      <c r="I944" s="105" t="s">
        <v>721</v>
      </c>
    </row>
    <row r="945" spans="1:9" s="108" customFormat="1" ht="30.6">
      <c r="A945" s="115" t="s">
        <v>745</v>
      </c>
      <c r="B945" s="105" t="s">
        <v>48</v>
      </c>
      <c r="C945" s="124">
        <f>32.3*C1284+0.8*C1302</f>
        <v>97.078999999999994</v>
      </c>
      <c r="D945" s="109">
        <v>0.3</v>
      </c>
      <c r="E945" s="105" t="s">
        <v>26</v>
      </c>
      <c r="F945" s="105" t="s">
        <v>671</v>
      </c>
      <c r="G945" s="105" t="s">
        <v>746</v>
      </c>
      <c r="H945" s="105" t="s">
        <v>26</v>
      </c>
      <c r="I945" s="105" t="s">
        <v>721</v>
      </c>
    </row>
    <row r="946" spans="1:9" s="108" customFormat="1" ht="30.6">
      <c r="A946" s="115" t="s">
        <v>747</v>
      </c>
      <c r="B946" s="105" t="s">
        <v>48</v>
      </c>
      <c r="C946" s="124">
        <f>210.5*C1284+0*C1302</f>
        <v>616.76499999999999</v>
      </c>
      <c r="D946" s="109">
        <v>0.3</v>
      </c>
      <c r="E946" s="105" t="s">
        <v>26</v>
      </c>
      <c r="F946" s="105" t="s">
        <v>671</v>
      </c>
      <c r="G946" s="105" t="s">
        <v>748</v>
      </c>
      <c r="H946" s="105" t="s">
        <v>26</v>
      </c>
      <c r="I946" s="105" t="s">
        <v>721</v>
      </c>
    </row>
    <row r="947" spans="1:9" s="108" customFormat="1" ht="15.6">
      <c r="A947" s="105" t="s">
        <v>749</v>
      </c>
      <c r="B947" s="105" t="s">
        <v>48</v>
      </c>
      <c r="C947" s="124">
        <f>32.2*C1284+0*C1302</f>
        <v>94.346000000000018</v>
      </c>
      <c r="D947" s="109">
        <v>0.3</v>
      </c>
      <c r="E947" s="105" t="s">
        <v>26</v>
      </c>
      <c r="F947" s="105" t="s">
        <v>671</v>
      </c>
      <c r="G947" s="105" t="s">
        <v>750</v>
      </c>
      <c r="H947" s="105" t="s">
        <v>26</v>
      </c>
      <c r="I947" s="105" t="s">
        <v>721</v>
      </c>
    </row>
    <row r="948" spans="1:9" s="108" customFormat="1" ht="15.6">
      <c r="A948" s="105" t="s">
        <v>1619</v>
      </c>
      <c r="B948" s="105" t="s">
        <v>63</v>
      </c>
      <c r="C948" s="124">
        <v>0.20899999999999999</v>
      </c>
      <c r="D948" s="109">
        <v>0.6</v>
      </c>
      <c r="E948" s="105" t="s">
        <v>26</v>
      </c>
      <c r="F948" s="105" t="s">
        <v>1201</v>
      </c>
      <c r="G948" s="105"/>
      <c r="H948" s="105" t="s">
        <v>26</v>
      </c>
      <c r="I948" s="105" t="s">
        <v>721</v>
      </c>
    </row>
    <row r="949" spans="1:9" s="108" customFormat="1" ht="15.6">
      <c r="A949" s="105" t="s">
        <v>1620</v>
      </c>
      <c r="B949" s="105" t="s">
        <v>63</v>
      </c>
      <c r="C949" s="124">
        <v>0.10100000000000001</v>
      </c>
      <c r="D949" s="109">
        <v>0.6</v>
      </c>
      <c r="E949" s="105" t="s">
        <v>26</v>
      </c>
      <c r="F949" s="105" t="s">
        <v>1201</v>
      </c>
      <c r="G949" s="105"/>
      <c r="H949" s="105" t="s">
        <v>26</v>
      </c>
      <c r="I949" s="105" t="s">
        <v>721</v>
      </c>
    </row>
    <row r="950" spans="1:9" s="108" customFormat="1" ht="15.6">
      <c r="A950" s="105" t="s">
        <v>1621</v>
      </c>
      <c r="B950" s="105" t="s">
        <v>63</v>
      </c>
      <c r="C950" s="124">
        <v>4.5699999999999998E-2</v>
      </c>
      <c r="D950" s="109">
        <v>0.6</v>
      </c>
      <c r="E950" s="105" t="s">
        <v>26</v>
      </c>
      <c r="F950" s="105" t="s">
        <v>1201</v>
      </c>
      <c r="G950" s="105"/>
      <c r="H950" s="105" t="s">
        <v>26</v>
      </c>
      <c r="I950" s="105" t="s">
        <v>721</v>
      </c>
    </row>
    <row r="951" spans="1:9" s="108" customFormat="1" ht="15.6">
      <c r="A951" s="105" t="s">
        <v>1622</v>
      </c>
      <c r="B951" s="105" t="s">
        <v>63</v>
      </c>
      <c r="C951" s="124">
        <v>6.8699999999999997E-2</v>
      </c>
      <c r="D951" s="109">
        <v>0.6</v>
      </c>
      <c r="E951" s="105" t="s">
        <v>26</v>
      </c>
      <c r="F951" s="105" t="s">
        <v>1201</v>
      </c>
      <c r="G951" s="105"/>
      <c r="H951" s="105" t="s">
        <v>26</v>
      </c>
      <c r="I951" s="105" t="s">
        <v>721</v>
      </c>
    </row>
    <row r="952" spans="1:9" s="108" customFormat="1" ht="15.6">
      <c r="A952" s="105" t="s">
        <v>751</v>
      </c>
      <c r="B952" s="105" t="s">
        <v>48</v>
      </c>
      <c r="C952" s="124">
        <f>54.3*C1284+1.4*C1302</f>
        <v>163.369</v>
      </c>
      <c r="D952" s="109">
        <v>0.3</v>
      </c>
      <c r="E952" s="105" t="s">
        <v>26</v>
      </c>
      <c r="F952" s="105" t="s">
        <v>671</v>
      </c>
      <c r="G952" s="105" t="s">
        <v>752</v>
      </c>
      <c r="H952" s="105" t="s">
        <v>26</v>
      </c>
      <c r="I952" s="105" t="s">
        <v>721</v>
      </c>
    </row>
    <row r="953" spans="1:9" ht="15.6">
      <c r="A953" s="17" t="s">
        <v>753</v>
      </c>
      <c r="B953" s="17" t="s">
        <v>63</v>
      </c>
      <c r="C953" s="69">
        <v>5.6261999999999996E-3</v>
      </c>
      <c r="D953" s="59">
        <v>0.3</v>
      </c>
      <c r="E953" s="17" t="s">
        <v>26</v>
      </c>
      <c r="F953" s="17" t="s">
        <v>140</v>
      </c>
      <c r="G953" s="17" t="s">
        <v>754</v>
      </c>
      <c r="H953" s="17" t="s">
        <v>26</v>
      </c>
      <c r="I953" s="17" t="s">
        <v>721</v>
      </c>
    </row>
    <row r="954" spans="1:9" ht="15.6">
      <c r="A954" s="17" t="s">
        <v>755</v>
      </c>
      <c r="B954" s="17" t="s">
        <v>63</v>
      </c>
      <c r="C954" s="69">
        <v>1.0734E-2</v>
      </c>
      <c r="D954" s="59">
        <v>0.3</v>
      </c>
      <c r="E954" s="17" t="s">
        <v>26</v>
      </c>
      <c r="F954" s="66" t="s">
        <v>140</v>
      </c>
      <c r="G954" s="17" t="s">
        <v>756</v>
      </c>
      <c r="H954" s="17" t="s">
        <v>26</v>
      </c>
      <c r="I954" s="17" t="s">
        <v>721</v>
      </c>
    </row>
    <row r="955" spans="1:9" s="108" customFormat="1" ht="15.6">
      <c r="A955" s="105" t="s">
        <v>1623</v>
      </c>
      <c r="B955" s="105" t="s">
        <v>63</v>
      </c>
      <c r="C955" s="124">
        <v>7.4099999999999999E-3</v>
      </c>
      <c r="D955" s="109">
        <v>0.6</v>
      </c>
      <c r="E955" s="105" t="s">
        <v>26</v>
      </c>
      <c r="F955" s="105" t="s">
        <v>1201</v>
      </c>
      <c r="G955" s="105"/>
      <c r="H955" s="105" t="s">
        <v>26</v>
      </c>
      <c r="I955" s="105" t="s">
        <v>721</v>
      </c>
    </row>
    <row r="956" spans="1:9" s="108" customFormat="1" ht="15.6">
      <c r="A956" s="105" t="s">
        <v>1624</v>
      </c>
      <c r="B956" s="105" t="s">
        <v>63</v>
      </c>
      <c r="C956" s="124">
        <v>2.7000000000000001E-3</v>
      </c>
      <c r="D956" s="109">
        <v>0.6</v>
      </c>
      <c r="E956" s="105" t="s">
        <v>26</v>
      </c>
      <c r="F956" s="105" t="s">
        <v>1201</v>
      </c>
      <c r="G956" s="105"/>
      <c r="H956" s="105" t="s">
        <v>26</v>
      </c>
      <c r="I956" s="105" t="s">
        <v>721</v>
      </c>
    </row>
    <row r="957" spans="1:9" s="108" customFormat="1" ht="15.6">
      <c r="A957" s="105" t="s">
        <v>1625</v>
      </c>
      <c r="B957" s="105" t="s">
        <v>63</v>
      </c>
      <c r="C957" s="124">
        <v>3.2500000000000001E-2</v>
      </c>
      <c r="D957" s="109">
        <v>0.6</v>
      </c>
      <c r="E957" s="105" t="s">
        <v>26</v>
      </c>
      <c r="F957" s="105" t="s">
        <v>1201</v>
      </c>
      <c r="G957" s="105"/>
      <c r="H957" s="105" t="s">
        <v>26</v>
      </c>
      <c r="I957" s="105" t="s">
        <v>721</v>
      </c>
    </row>
    <row r="958" spans="1:9" s="108" customFormat="1" ht="15.6">
      <c r="A958" s="105" t="s">
        <v>1626</v>
      </c>
      <c r="B958" s="105" t="s">
        <v>63</v>
      </c>
      <c r="C958" s="124">
        <v>2.8999999999999998E-3</v>
      </c>
      <c r="D958" s="109">
        <v>0.6</v>
      </c>
      <c r="E958" s="105" t="s">
        <v>26</v>
      </c>
      <c r="F958" s="105" t="s">
        <v>1201</v>
      </c>
      <c r="G958" s="105"/>
      <c r="H958" s="105" t="s">
        <v>26</v>
      </c>
      <c r="I958" s="105" t="s">
        <v>721</v>
      </c>
    </row>
    <row r="959" spans="1:9" s="108" customFormat="1" ht="30.6">
      <c r="A959" s="115" t="s">
        <v>757</v>
      </c>
      <c r="B959" s="105" t="s">
        <v>48</v>
      </c>
      <c r="C959" s="124">
        <f>39.2*C1284+0*C1302</f>
        <v>114.85600000000001</v>
      </c>
      <c r="D959" s="109">
        <v>0.3</v>
      </c>
      <c r="E959" s="105" t="s">
        <v>26</v>
      </c>
      <c r="F959" s="105" t="s">
        <v>671</v>
      </c>
      <c r="G959" s="105" t="s">
        <v>758</v>
      </c>
      <c r="H959" s="105" t="s">
        <v>26</v>
      </c>
      <c r="I959" s="105" t="s">
        <v>721</v>
      </c>
    </row>
    <row r="960" spans="1:9" s="108" customFormat="1" ht="30.6">
      <c r="A960" s="115" t="s">
        <v>759</v>
      </c>
      <c r="B960" s="105" t="s">
        <v>48</v>
      </c>
      <c r="C960" s="124">
        <f>39.7*C1284+0*C1302</f>
        <v>116.32100000000001</v>
      </c>
      <c r="D960" s="109">
        <v>0.3</v>
      </c>
      <c r="E960" s="105" t="s">
        <v>26</v>
      </c>
      <c r="F960" s="105" t="s">
        <v>671</v>
      </c>
      <c r="G960" s="105" t="s">
        <v>760</v>
      </c>
      <c r="H960" s="105" t="s">
        <v>26</v>
      </c>
      <c r="I960" s="105" t="s">
        <v>721</v>
      </c>
    </row>
    <row r="961" spans="1:9" s="108" customFormat="1" ht="30.6">
      <c r="A961" s="115" t="s">
        <v>761</v>
      </c>
      <c r="B961" s="105" t="s">
        <v>48</v>
      </c>
      <c r="C961" s="124">
        <f>39.2*C1284+0*C1302</f>
        <v>114.85600000000001</v>
      </c>
      <c r="D961" s="109">
        <v>0.3</v>
      </c>
      <c r="E961" s="105" t="s">
        <v>26</v>
      </c>
      <c r="F961" s="105" t="s">
        <v>671</v>
      </c>
      <c r="G961" s="105" t="s">
        <v>762</v>
      </c>
      <c r="H961" s="105" t="s">
        <v>26</v>
      </c>
      <c r="I961" s="105" t="s">
        <v>721</v>
      </c>
    </row>
    <row r="962" spans="1:9" s="108" customFormat="1" ht="30.6">
      <c r="A962" s="115" t="s">
        <v>763</v>
      </c>
      <c r="B962" s="105" t="s">
        <v>48</v>
      </c>
      <c r="C962" s="124">
        <f>49.4*C1284+0*C1302</f>
        <v>144.74199999999999</v>
      </c>
      <c r="D962" s="109">
        <v>0.3</v>
      </c>
      <c r="E962" s="105" t="s">
        <v>26</v>
      </c>
      <c r="F962" s="105" t="s">
        <v>671</v>
      </c>
      <c r="G962" s="105" t="s">
        <v>764</v>
      </c>
      <c r="H962" s="105" t="s">
        <v>26</v>
      </c>
      <c r="I962" s="105" t="s">
        <v>721</v>
      </c>
    </row>
    <row r="963" spans="1:9">
      <c r="A963" s="17"/>
      <c r="B963" s="17"/>
      <c r="C963" s="17"/>
      <c r="D963" s="57"/>
      <c r="E963" s="17" t="s">
        <v>26</v>
      </c>
      <c r="F963" s="17"/>
      <c r="G963" s="17"/>
      <c r="H963" s="17"/>
      <c r="I963" s="17"/>
    </row>
    <row r="964" spans="1:9">
      <c r="A964" s="17" t="s">
        <v>765</v>
      </c>
      <c r="B964" s="17"/>
      <c r="C964" s="17"/>
      <c r="D964" s="57"/>
      <c r="E964" s="17" t="s">
        <v>26</v>
      </c>
      <c r="F964" s="17"/>
      <c r="G964" s="17"/>
      <c r="H964" s="17"/>
      <c r="I964" s="17"/>
    </row>
    <row r="965" spans="1:9" s="108" customFormat="1">
      <c r="A965" s="105" t="s">
        <v>1627</v>
      </c>
      <c r="B965" s="105" t="s">
        <v>63</v>
      </c>
      <c r="C965" s="120">
        <v>3.1</v>
      </c>
      <c r="D965" s="107">
        <v>0.7</v>
      </c>
      <c r="E965" s="105" t="s">
        <v>26</v>
      </c>
      <c r="F965" s="105" t="s">
        <v>1201</v>
      </c>
      <c r="G965" s="105"/>
      <c r="H965" s="125" t="s">
        <v>26</v>
      </c>
      <c r="I965" s="125" t="s">
        <v>767</v>
      </c>
    </row>
    <row r="966" spans="1:9" s="108" customFormat="1">
      <c r="A966" s="105" t="s">
        <v>1628</v>
      </c>
      <c r="B966" s="105" t="s">
        <v>63</v>
      </c>
      <c r="C966" s="120">
        <v>3.47</v>
      </c>
      <c r="D966" s="107">
        <v>0.7</v>
      </c>
      <c r="E966" s="105" t="s">
        <v>26</v>
      </c>
      <c r="F966" s="105" t="s">
        <v>1201</v>
      </c>
      <c r="G966" s="105"/>
      <c r="H966" s="125" t="s">
        <v>26</v>
      </c>
      <c r="I966" s="125" t="s">
        <v>767</v>
      </c>
    </row>
    <row r="967" spans="1:9" s="108" customFormat="1">
      <c r="A967" s="105" t="s">
        <v>1629</v>
      </c>
      <c r="B967" s="105" t="s">
        <v>63</v>
      </c>
      <c r="C967" s="120">
        <v>5.43</v>
      </c>
      <c r="D967" s="107">
        <v>0.7</v>
      </c>
      <c r="E967" s="105" t="s">
        <v>26</v>
      </c>
      <c r="F967" s="105" t="s">
        <v>1201</v>
      </c>
      <c r="G967" s="105"/>
      <c r="H967" s="125" t="s">
        <v>26</v>
      </c>
      <c r="I967" s="125" t="s">
        <v>767</v>
      </c>
    </row>
    <row r="968" spans="1:9" s="108" customFormat="1">
      <c r="A968" s="105" t="s">
        <v>1630</v>
      </c>
      <c r="B968" s="105" t="s">
        <v>63</v>
      </c>
      <c r="C968" s="120">
        <v>3.45</v>
      </c>
      <c r="D968" s="107">
        <v>0.7</v>
      </c>
      <c r="E968" s="105" t="s">
        <v>26</v>
      </c>
      <c r="F968" s="105" t="s">
        <v>1201</v>
      </c>
      <c r="G968" s="105"/>
      <c r="H968" s="125" t="s">
        <v>26</v>
      </c>
      <c r="I968" s="125" t="s">
        <v>767</v>
      </c>
    </row>
    <row r="969" spans="1:9" s="108" customFormat="1">
      <c r="A969" s="105" t="s">
        <v>1631</v>
      </c>
      <c r="B969" s="105" t="s">
        <v>63</v>
      </c>
      <c r="C969" s="120">
        <v>3.47</v>
      </c>
      <c r="D969" s="107">
        <v>0.7</v>
      </c>
      <c r="E969" s="105" t="s">
        <v>26</v>
      </c>
      <c r="F969" s="105" t="s">
        <v>1201</v>
      </c>
      <c r="G969" s="105"/>
      <c r="H969" s="125" t="s">
        <v>26</v>
      </c>
      <c r="I969" s="125" t="s">
        <v>767</v>
      </c>
    </row>
    <row r="970" spans="1:9" s="108" customFormat="1">
      <c r="A970" s="105" t="s">
        <v>1632</v>
      </c>
      <c r="B970" s="105" t="s">
        <v>63</v>
      </c>
      <c r="C970" s="120">
        <v>2.56</v>
      </c>
      <c r="D970" s="107">
        <v>0.7</v>
      </c>
      <c r="E970" s="105" t="s">
        <v>26</v>
      </c>
      <c r="F970" s="105" t="s">
        <v>1201</v>
      </c>
      <c r="G970" s="105"/>
      <c r="H970" s="125" t="s">
        <v>26</v>
      </c>
      <c r="I970" s="125" t="s">
        <v>767</v>
      </c>
    </row>
    <row r="971" spans="1:9" s="108" customFormat="1">
      <c r="A971" s="105" t="s">
        <v>1633</v>
      </c>
      <c r="B971" s="105" t="s">
        <v>63</v>
      </c>
      <c r="C971" s="120">
        <v>1.74</v>
      </c>
      <c r="D971" s="107">
        <v>0.7</v>
      </c>
      <c r="E971" s="105" t="s">
        <v>26</v>
      </c>
      <c r="F971" s="105" t="s">
        <v>1201</v>
      </c>
      <c r="G971" s="105"/>
      <c r="H971" s="125" t="s">
        <v>26</v>
      </c>
      <c r="I971" s="125" t="s">
        <v>767</v>
      </c>
    </row>
    <row r="972" spans="1:9" s="108" customFormat="1">
      <c r="A972" s="105" t="s">
        <v>1634</v>
      </c>
      <c r="B972" s="105" t="s">
        <v>63</v>
      </c>
      <c r="C972" s="120">
        <v>1.08</v>
      </c>
      <c r="D972" s="107">
        <v>0.7</v>
      </c>
      <c r="E972" s="105" t="s">
        <v>26</v>
      </c>
      <c r="F972" s="105" t="s">
        <v>1201</v>
      </c>
      <c r="G972" s="105"/>
      <c r="H972" s="125" t="s">
        <v>26</v>
      </c>
      <c r="I972" s="125" t="s">
        <v>767</v>
      </c>
    </row>
    <row r="973" spans="1:9" s="108" customFormat="1">
      <c r="A973" s="105" t="s">
        <v>1635</v>
      </c>
      <c r="B973" s="105" t="s">
        <v>63</v>
      </c>
      <c r="C973" s="120">
        <v>1.7</v>
      </c>
      <c r="D973" s="107">
        <v>0.1</v>
      </c>
      <c r="E973" s="105" t="s">
        <v>26</v>
      </c>
      <c r="F973" s="105" t="s">
        <v>1201</v>
      </c>
      <c r="G973" s="105"/>
      <c r="H973" s="125" t="s">
        <v>26</v>
      </c>
      <c r="I973" s="125" t="s">
        <v>767</v>
      </c>
    </row>
    <row r="974" spans="1:9" s="108" customFormat="1">
      <c r="A974" s="105" t="s">
        <v>1636</v>
      </c>
      <c r="B974" s="105" t="s">
        <v>63</v>
      </c>
      <c r="C974" s="120">
        <v>1.9</v>
      </c>
      <c r="D974" s="107">
        <v>0.1</v>
      </c>
      <c r="E974" s="105" t="s">
        <v>26</v>
      </c>
      <c r="F974" s="105" t="s">
        <v>1201</v>
      </c>
      <c r="G974" s="105"/>
      <c r="H974" s="125" t="s">
        <v>26</v>
      </c>
      <c r="I974" s="125" t="s">
        <v>767</v>
      </c>
    </row>
    <row r="975" spans="1:9" s="108" customFormat="1">
      <c r="A975" s="105" t="s">
        <v>1637</v>
      </c>
      <c r="B975" s="105" t="s">
        <v>63</v>
      </c>
      <c r="C975" s="120">
        <v>2.97</v>
      </c>
      <c r="D975" s="107">
        <v>0.1</v>
      </c>
      <c r="E975" s="105" t="s">
        <v>26</v>
      </c>
      <c r="F975" s="105" t="s">
        <v>1201</v>
      </c>
      <c r="G975" s="105"/>
      <c r="H975" s="125" t="s">
        <v>26</v>
      </c>
      <c r="I975" s="125" t="s">
        <v>767</v>
      </c>
    </row>
    <row r="976" spans="1:9" s="108" customFormat="1">
      <c r="A976" s="105" t="s">
        <v>1638</v>
      </c>
      <c r="B976" s="105" t="s">
        <v>63</v>
      </c>
      <c r="C976" s="120">
        <v>1.89</v>
      </c>
      <c r="D976" s="107">
        <v>0.1</v>
      </c>
      <c r="E976" s="105" t="s">
        <v>26</v>
      </c>
      <c r="F976" s="105" t="s">
        <v>1201</v>
      </c>
      <c r="G976" s="105"/>
      <c r="H976" s="125" t="s">
        <v>26</v>
      </c>
      <c r="I976" s="125" t="s">
        <v>767</v>
      </c>
    </row>
    <row r="977" spans="1:9" s="108" customFormat="1">
      <c r="A977" s="105" t="s">
        <v>1639</v>
      </c>
      <c r="B977" s="105" t="s">
        <v>63</v>
      </c>
      <c r="C977" s="120">
        <v>1.9</v>
      </c>
      <c r="D977" s="107">
        <v>0.1</v>
      </c>
      <c r="E977" s="105" t="s">
        <v>26</v>
      </c>
      <c r="F977" s="105" t="s">
        <v>1201</v>
      </c>
      <c r="G977" s="105"/>
      <c r="H977" s="125" t="s">
        <v>26</v>
      </c>
      <c r="I977" s="125" t="s">
        <v>767</v>
      </c>
    </row>
    <row r="978" spans="1:9" s="108" customFormat="1">
      <c r="A978" s="105" t="s">
        <v>1640</v>
      </c>
      <c r="B978" s="105" t="s">
        <v>63</v>
      </c>
      <c r="C978" s="120">
        <v>1.4</v>
      </c>
      <c r="D978" s="107">
        <v>0.1</v>
      </c>
      <c r="E978" s="105" t="s">
        <v>26</v>
      </c>
      <c r="F978" s="105" t="s">
        <v>1201</v>
      </c>
      <c r="G978" s="105"/>
      <c r="H978" s="125" t="s">
        <v>26</v>
      </c>
      <c r="I978" s="125" t="s">
        <v>767</v>
      </c>
    </row>
    <row r="979" spans="1:9" s="108" customFormat="1">
      <c r="A979" s="105" t="s">
        <v>1641</v>
      </c>
      <c r="B979" s="105" t="s">
        <v>63</v>
      </c>
      <c r="C979" s="120">
        <v>0.95099999999999996</v>
      </c>
      <c r="D979" s="107">
        <v>0.1</v>
      </c>
      <c r="E979" s="105" t="s">
        <v>26</v>
      </c>
      <c r="F979" s="105" t="s">
        <v>1201</v>
      </c>
      <c r="G979" s="105"/>
      <c r="H979" s="125" t="s">
        <v>26</v>
      </c>
      <c r="I979" s="125" t="s">
        <v>767</v>
      </c>
    </row>
    <row r="980" spans="1:9" s="108" customFormat="1">
      <c r="A980" s="105" t="s">
        <v>1642</v>
      </c>
      <c r="B980" s="105" t="s">
        <v>63</v>
      </c>
      <c r="C980" s="120">
        <v>0.59099999999999997</v>
      </c>
      <c r="D980" s="107">
        <v>0.1</v>
      </c>
      <c r="E980" s="105" t="s">
        <v>26</v>
      </c>
      <c r="F980" s="105" t="s">
        <v>1201</v>
      </c>
      <c r="G980" s="105"/>
      <c r="H980" s="125" t="s">
        <v>26</v>
      </c>
      <c r="I980" s="125" t="s">
        <v>767</v>
      </c>
    </row>
    <row r="981" spans="1:9" s="108" customFormat="1">
      <c r="A981" s="105" t="s">
        <v>1643</v>
      </c>
      <c r="B981" s="105" t="s">
        <v>63</v>
      </c>
      <c r="C981" s="120">
        <v>2.59</v>
      </c>
      <c r="D981" s="107">
        <v>0.7</v>
      </c>
      <c r="E981" s="105" t="s">
        <v>26</v>
      </c>
      <c r="F981" s="105" t="s">
        <v>1201</v>
      </c>
      <c r="G981" s="105"/>
      <c r="H981" s="105" t="s">
        <v>26</v>
      </c>
      <c r="I981" s="105" t="s">
        <v>767</v>
      </c>
    </row>
    <row r="982" spans="1:9" s="108" customFormat="1">
      <c r="A982" s="105" t="s">
        <v>1644</v>
      </c>
      <c r="B982" s="105" t="s">
        <v>63</v>
      </c>
      <c r="C982" s="120">
        <v>1.42</v>
      </c>
      <c r="D982" s="107">
        <v>0.1</v>
      </c>
      <c r="E982" s="105" t="s">
        <v>26</v>
      </c>
      <c r="F982" s="105" t="s">
        <v>1201</v>
      </c>
      <c r="G982" s="105"/>
      <c r="H982" s="105" t="s">
        <v>26</v>
      </c>
      <c r="I982" s="105" t="s">
        <v>767</v>
      </c>
    </row>
    <row r="983" spans="1:9" s="108" customFormat="1">
      <c r="A983" s="105" t="s">
        <v>1645</v>
      </c>
      <c r="B983" s="105" t="s">
        <v>63</v>
      </c>
      <c r="C983" s="120">
        <v>1.51</v>
      </c>
      <c r="D983" s="107">
        <v>0.7</v>
      </c>
      <c r="E983" s="105" t="s">
        <v>26</v>
      </c>
      <c r="F983" s="105" t="s">
        <v>1201</v>
      </c>
      <c r="G983" s="105"/>
      <c r="H983" s="105" t="s">
        <v>26</v>
      </c>
      <c r="I983" s="105" t="s">
        <v>767</v>
      </c>
    </row>
    <row r="984" spans="1:9" s="108" customFormat="1">
      <c r="A984" s="105" t="s">
        <v>1646</v>
      </c>
      <c r="B984" s="105" t="s">
        <v>63</v>
      </c>
      <c r="C984" s="120">
        <v>0.83199999999999996</v>
      </c>
      <c r="D984" s="107">
        <v>0.1</v>
      </c>
      <c r="E984" s="105" t="s">
        <v>26</v>
      </c>
      <c r="F984" s="105" t="s">
        <v>1201</v>
      </c>
      <c r="G984" s="105"/>
      <c r="H984" s="105" t="s">
        <v>26</v>
      </c>
      <c r="I984" s="105" t="s">
        <v>767</v>
      </c>
    </row>
    <row r="985" spans="1:9" s="108" customFormat="1">
      <c r="A985" s="105" t="s">
        <v>1647</v>
      </c>
      <c r="B985" s="105" t="s">
        <v>63</v>
      </c>
      <c r="C985" s="120">
        <v>1.87</v>
      </c>
      <c r="D985" s="107">
        <v>0.7</v>
      </c>
      <c r="E985" s="105" t="s">
        <v>26</v>
      </c>
      <c r="F985" s="105" t="s">
        <v>1201</v>
      </c>
      <c r="G985" s="105"/>
      <c r="H985" s="105" t="s">
        <v>26</v>
      </c>
      <c r="I985" s="105" t="s">
        <v>767</v>
      </c>
    </row>
    <row r="986" spans="1:9" s="108" customFormat="1">
      <c r="A986" s="105" t="s">
        <v>1648</v>
      </c>
      <c r="B986" s="105" t="s">
        <v>63</v>
      </c>
      <c r="C986" s="120">
        <v>1.03</v>
      </c>
      <c r="D986" s="107">
        <v>0.1</v>
      </c>
      <c r="E986" s="105" t="s">
        <v>26</v>
      </c>
      <c r="F986" s="105" t="s">
        <v>1201</v>
      </c>
      <c r="G986" s="105"/>
      <c r="H986" s="105" t="s">
        <v>26</v>
      </c>
      <c r="I986" s="105" t="s">
        <v>767</v>
      </c>
    </row>
    <row r="987" spans="1:9" ht="15.6">
      <c r="A987" s="17" t="s">
        <v>768</v>
      </c>
      <c r="B987" s="17" t="s">
        <v>63</v>
      </c>
      <c r="C987" s="68">
        <v>1.6673</v>
      </c>
      <c r="D987" s="59">
        <v>0.3</v>
      </c>
      <c r="E987" s="17" t="s">
        <v>26</v>
      </c>
      <c r="F987" s="66" t="s">
        <v>140</v>
      </c>
      <c r="G987" s="17" t="s">
        <v>769</v>
      </c>
      <c r="H987" s="66" t="s">
        <v>26</v>
      </c>
      <c r="I987" s="66" t="s">
        <v>767</v>
      </c>
    </row>
    <row r="988" spans="1:9" ht="15.6">
      <c r="A988" s="17" t="s">
        <v>770</v>
      </c>
      <c r="B988" s="17" t="s">
        <v>63</v>
      </c>
      <c r="C988" s="68">
        <v>1.0666</v>
      </c>
      <c r="D988" s="59">
        <v>0.3</v>
      </c>
      <c r="E988" s="17" t="s">
        <v>26</v>
      </c>
      <c r="F988" s="66" t="s">
        <v>140</v>
      </c>
      <c r="G988" s="17" t="s">
        <v>771</v>
      </c>
      <c r="H988" s="17" t="s">
        <v>26</v>
      </c>
      <c r="I988" s="17" t="s">
        <v>767</v>
      </c>
    </row>
    <row r="989" spans="1:9">
      <c r="A989" s="17" t="s">
        <v>772</v>
      </c>
      <c r="B989" s="17" t="s">
        <v>63</v>
      </c>
      <c r="C989" s="68">
        <v>3.12</v>
      </c>
      <c r="D989" s="57">
        <v>0.2</v>
      </c>
      <c r="E989" s="17" t="s">
        <v>26</v>
      </c>
      <c r="F989" s="66" t="s">
        <v>738</v>
      </c>
      <c r="G989" s="17" t="s">
        <v>766</v>
      </c>
      <c r="H989" s="17" t="s">
        <v>26</v>
      </c>
      <c r="I989" s="17" t="s">
        <v>767</v>
      </c>
    </row>
    <row r="990" spans="1:9" s="108" customFormat="1">
      <c r="A990" s="105" t="s">
        <v>773</v>
      </c>
      <c r="B990" s="105" t="s">
        <v>774</v>
      </c>
      <c r="C990" s="120">
        <v>18.13</v>
      </c>
      <c r="D990" s="107">
        <v>0.2</v>
      </c>
      <c r="E990" s="105" t="s">
        <v>25</v>
      </c>
      <c r="F990" s="105" t="s">
        <v>1649</v>
      </c>
      <c r="G990" s="105"/>
      <c r="H990" s="105" t="s">
        <v>25</v>
      </c>
      <c r="I990" s="105" t="s">
        <v>775</v>
      </c>
    </row>
    <row r="991" spans="1:9" s="108" customFormat="1">
      <c r="A991" s="105" t="s">
        <v>776</v>
      </c>
      <c r="B991" s="105" t="s">
        <v>774</v>
      </c>
      <c r="C991" s="120">
        <v>37.400000000000006</v>
      </c>
      <c r="D991" s="107">
        <v>0.2</v>
      </c>
      <c r="E991" s="105" t="s">
        <v>25</v>
      </c>
      <c r="F991" s="105" t="s">
        <v>1649</v>
      </c>
      <c r="G991" s="105"/>
      <c r="H991" s="105" t="s">
        <v>25</v>
      </c>
      <c r="I991" s="105" t="s">
        <v>775</v>
      </c>
    </row>
    <row r="992" spans="1:9" s="108" customFormat="1">
      <c r="A992" s="105" t="s">
        <v>777</v>
      </c>
      <c r="B992" s="105" t="s">
        <v>774</v>
      </c>
      <c r="C992" s="120">
        <v>75.5</v>
      </c>
      <c r="D992" s="107">
        <v>0.2</v>
      </c>
      <c r="E992" s="105" t="s">
        <v>25</v>
      </c>
      <c r="F992" s="105" t="s">
        <v>1649</v>
      </c>
      <c r="G992" s="105"/>
      <c r="H992" s="105" t="s">
        <v>25</v>
      </c>
      <c r="I992" s="105" t="s">
        <v>775</v>
      </c>
    </row>
    <row r="993" spans="1:9">
      <c r="A993" s="17"/>
      <c r="B993" s="17"/>
      <c r="C993" s="17"/>
      <c r="D993" s="57"/>
      <c r="E993" s="17"/>
      <c r="F993" s="17"/>
      <c r="G993" s="17"/>
      <c r="H993" s="17"/>
      <c r="I993" s="17"/>
    </row>
    <row r="994" spans="1:9">
      <c r="A994" s="17" t="s">
        <v>778</v>
      </c>
      <c r="B994" s="17"/>
      <c r="C994" s="17"/>
      <c r="D994" s="57"/>
      <c r="E994" s="17"/>
      <c r="F994" s="17"/>
      <c r="G994" s="17"/>
      <c r="H994" s="17"/>
      <c r="I994" s="17"/>
    </row>
    <row r="995" spans="1:9" s="108" customFormat="1" ht="45.6">
      <c r="A995" s="115" t="s">
        <v>779</v>
      </c>
      <c r="B995" s="105" t="s">
        <v>48</v>
      </c>
      <c r="C995" s="120">
        <f>C1251*12.2</f>
        <v>38.662186182257145</v>
      </c>
      <c r="D995" s="109">
        <v>0.3</v>
      </c>
      <c r="E995" s="105" t="s">
        <v>26</v>
      </c>
      <c r="F995" s="125" t="s">
        <v>671</v>
      </c>
      <c r="G995" s="125" t="s">
        <v>780</v>
      </c>
      <c r="H995" s="125" t="s">
        <v>26</v>
      </c>
      <c r="I995" s="125" t="s">
        <v>781</v>
      </c>
    </row>
    <row r="996" spans="1:9" s="108" customFormat="1" ht="45.6">
      <c r="A996" s="115" t="s">
        <v>782</v>
      </c>
      <c r="B996" s="105" t="s">
        <v>48</v>
      </c>
      <c r="C996" s="120">
        <f>C1251*7.3</f>
        <v>23.13393107626862</v>
      </c>
      <c r="D996" s="109">
        <v>0.3</v>
      </c>
      <c r="E996" s="105" t="s">
        <v>26</v>
      </c>
      <c r="F996" s="125" t="s">
        <v>671</v>
      </c>
      <c r="G996" s="125" t="s">
        <v>783</v>
      </c>
      <c r="H996" s="125" t="s">
        <v>26</v>
      </c>
      <c r="I996" s="125" t="s">
        <v>781</v>
      </c>
    </row>
    <row r="997" spans="1:9" s="108" customFormat="1" ht="45.6">
      <c r="A997" s="115" t="s">
        <v>784</v>
      </c>
      <c r="B997" s="105" t="s">
        <v>48</v>
      </c>
      <c r="C997" s="120">
        <f>C1251*8.3</f>
        <v>26.302962730551997</v>
      </c>
      <c r="D997" s="109">
        <v>0.3</v>
      </c>
      <c r="E997" s="105" t="s">
        <v>26</v>
      </c>
      <c r="F997" s="105" t="s">
        <v>671</v>
      </c>
      <c r="G997" s="125" t="s">
        <v>785</v>
      </c>
      <c r="H997" s="125" t="s">
        <v>26</v>
      </c>
      <c r="I997" s="125" t="s">
        <v>781</v>
      </c>
    </row>
    <row r="998" spans="1:9" s="108" customFormat="1" ht="45.6">
      <c r="A998" s="115" t="s">
        <v>786</v>
      </c>
      <c r="B998" s="105" t="s">
        <v>48</v>
      </c>
      <c r="C998" s="120">
        <f>C1251*19.9</f>
        <v>63.063729920239112</v>
      </c>
      <c r="D998" s="109">
        <v>0.3</v>
      </c>
      <c r="E998" s="105" t="s">
        <v>26</v>
      </c>
      <c r="F998" s="105" t="s">
        <v>671</v>
      </c>
      <c r="G998" s="125" t="s">
        <v>787</v>
      </c>
      <c r="H998" s="125" t="s">
        <v>26</v>
      </c>
      <c r="I998" s="125" t="s">
        <v>781</v>
      </c>
    </row>
    <row r="999" spans="1:9" s="108" customFormat="1" ht="30.6">
      <c r="A999" s="115" t="s">
        <v>788</v>
      </c>
      <c r="B999" s="105" t="s">
        <v>48</v>
      </c>
      <c r="C999" s="120">
        <f>C1251*6.3</f>
        <v>19.964899421985248</v>
      </c>
      <c r="D999" s="109">
        <v>0.3</v>
      </c>
      <c r="E999" s="105" t="s">
        <v>26</v>
      </c>
      <c r="F999" s="105" t="s">
        <v>671</v>
      </c>
      <c r="G999" s="125" t="s">
        <v>789</v>
      </c>
      <c r="H999" s="125" t="s">
        <v>26</v>
      </c>
      <c r="I999" s="125" t="s">
        <v>781</v>
      </c>
    </row>
    <row r="1000" spans="1:9" s="108" customFormat="1">
      <c r="A1000" s="105" t="s">
        <v>1650</v>
      </c>
      <c r="B1000" s="105" t="s">
        <v>63</v>
      </c>
      <c r="C1000" s="120">
        <v>3.3000000000000002E-2</v>
      </c>
      <c r="D1000" s="107">
        <v>0.7</v>
      </c>
      <c r="E1000" s="105" t="s">
        <v>26</v>
      </c>
      <c r="F1000" s="105" t="s">
        <v>1201</v>
      </c>
      <c r="G1000" s="125"/>
      <c r="H1000" s="125" t="s">
        <v>26</v>
      </c>
      <c r="I1000" s="125" t="s">
        <v>781</v>
      </c>
    </row>
    <row r="1001" spans="1:9" s="108" customFormat="1">
      <c r="A1001" s="105" t="s">
        <v>1651</v>
      </c>
      <c r="B1001" s="105" t="s">
        <v>63</v>
      </c>
      <c r="C1001" s="120">
        <v>3.5900000000000001E-2</v>
      </c>
      <c r="D1001" s="107">
        <v>0.7</v>
      </c>
      <c r="E1001" s="105" t="s">
        <v>26</v>
      </c>
      <c r="F1001" s="105" t="s">
        <v>1201</v>
      </c>
      <c r="G1001" s="125"/>
      <c r="H1001" s="125" t="s">
        <v>26</v>
      </c>
      <c r="I1001" s="125" t="s">
        <v>781</v>
      </c>
    </row>
    <row r="1002" spans="1:9" s="108" customFormat="1">
      <c r="A1002" s="105" t="s">
        <v>1652</v>
      </c>
      <c r="B1002" s="105" t="s">
        <v>63</v>
      </c>
      <c r="C1002" s="120">
        <v>2.58E-2</v>
      </c>
      <c r="D1002" s="107">
        <v>0.7</v>
      </c>
      <c r="E1002" s="105" t="s">
        <v>26</v>
      </c>
      <c r="F1002" s="105" t="s">
        <v>1201</v>
      </c>
      <c r="G1002" s="125"/>
      <c r="H1002" s="125" t="s">
        <v>26</v>
      </c>
      <c r="I1002" s="125" t="s">
        <v>781</v>
      </c>
    </row>
    <row r="1003" spans="1:9" s="108" customFormat="1">
      <c r="A1003" s="105" t="s">
        <v>1653</v>
      </c>
      <c r="B1003" s="105" t="s">
        <v>63</v>
      </c>
      <c r="C1003" s="120">
        <v>2.98E-2</v>
      </c>
      <c r="D1003" s="107">
        <v>0.7</v>
      </c>
      <c r="E1003" s="105" t="s">
        <v>26</v>
      </c>
      <c r="F1003" s="105" t="s">
        <v>1201</v>
      </c>
      <c r="G1003" s="125"/>
      <c r="H1003" s="125" t="s">
        <v>26</v>
      </c>
      <c r="I1003" s="125" t="s">
        <v>781</v>
      </c>
    </row>
    <row r="1004" spans="1:9" s="108" customFormat="1">
      <c r="A1004" s="105" t="s">
        <v>1654</v>
      </c>
      <c r="B1004" s="105" t="s">
        <v>63</v>
      </c>
      <c r="C1004" s="120">
        <v>1.9400000000000001E-2</v>
      </c>
      <c r="D1004" s="107">
        <v>0.7</v>
      </c>
      <c r="E1004" s="105" t="s">
        <v>26</v>
      </c>
      <c r="F1004" s="105" t="s">
        <v>1201</v>
      </c>
      <c r="G1004" s="125"/>
      <c r="H1004" s="125" t="s">
        <v>26</v>
      </c>
      <c r="I1004" s="125" t="s">
        <v>781</v>
      </c>
    </row>
    <row r="1005" spans="1:9" s="108" customFormat="1">
      <c r="A1005" s="105" t="s">
        <v>1655</v>
      </c>
      <c r="B1005" s="105" t="s">
        <v>63</v>
      </c>
      <c r="C1005" s="120">
        <v>1.3899999999999999E-2</v>
      </c>
      <c r="D1005" s="107">
        <v>0.7</v>
      </c>
      <c r="E1005" s="105" t="s">
        <v>26</v>
      </c>
      <c r="F1005" s="105" t="s">
        <v>1201</v>
      </c>
      <c r="G1005" s="125"/>
      <c r="H1005" s="125" t="s">
        <v>26</v>
      </c>
      <c r="I1005" s="125" t="s">
        <v>781</v>
      </c>
    </row>
    <row r="1006" spans="1:9" s="108" customFormat="1">
      <c r="A1006" s="105" t="s">
        <v>1656</v>
      </c>
      <c r="B1006" s="105" t="s">
        <v>63</v>
      </c>
      <c r="C1006" s="120">
        <v>3.2599999999999997E-2</v>
      </c>
      <c r="D1006" s="107">
        <v>0.7</v>
      </c>
      <c r="E1006" s="105" t="s">
        <v>26</v>
      </c>
      <c r="F1006" s="105" t="s">
        <v>1201</v>
      </c>
      <c r="G1006" s="125"/>
      <c r="H1006" s="125" t="s">
        <v>26</v>
      </c>
      <c r="I1006" s="125" t="s">
        <v>781</v>
      </c>
    </row>
    <row r="1007" spans="1:9" s="108" customFormat="1">
      <c r="A1007" s="105" t="s">
        <v>1657</v>
      </c>
      <c r="B1007" s="105" t="s">
        <v>63</v>
      </c>
      <c r="C1007" s="120">
        <v>9.1000000000000004E-3</v>
      </c>
      <c r="D1007" s="107">
        <v>0.7</v>
      </c>
      <c r="E1007" s="105" t="s">
        <v>26</v>
      </c>
      <c r="F1007" s="105" t="s">
        <v>1201</v>
      </c>
      <c r="G1007" s="125"/>
      <c r="H1007" s="125" t="s">
        <v>26</v>
      </c>
      <c r="I1007" s="125" t="s">
        <v>781</v>
      </c>
    </row>
    <row r="1008" spans="1:9" s="108" customFormat="1" ht="30.6">
      <c r="A1008" s="115" t="s">
        <v>790</v>
      </c>
      <c r="B1008" s="105" t="s">
        <v>48</v>
      </c>
      <c r="C1008" s="120">
        <f>C1251*14.4</f>
        <v>45.634055821680569</v>
      </c>
      <c r="D1008" s="109">
        <v>0.3</v>
      </c>
      <c r="E1008" s="105" t="s">
        <v>26</v>
      </c>
      <c r="F1008" s="105" t="s">
        <v>671</v>
      </c>
      <c r="G1008" s="125" t="s">
        <v>791</v>
      </c>
      <c r="H1008" s="125" t="s">
        <v>26</v>
      </c>
      <c r="I1008" s="125" t="s">
        <v>781</v>
      </c>
    </row>
    <row r="1009" spans="1:9" s="108" customFormat="1" ht="45.6">
      <c r="A1009" s="115" t="s">
        <v>792</v>
      </c>
      <c r="B1009" s="105" t="s">
        <v>48</v>
      </c>
      <c r="C1009" s="120">
        <f>C1251*28.4</f>
        <v>90.00049898164778</v>
      </c>
      <c r="D1009" s="109">
        <v>0.3</v>
      </c>
      <c r="E1009" s="105" t="s">
        <v>26</v>
      </c>
      <c r="F1009" s="105" t="s">
        <v>671</v>
      </c>
      <c r="G1009" s="125" t="s">
        <v>793</v>
      </c>
      <c r="H1009" s="125" t="s">
        <v>26</v>
      </c>
      <c r="I1009" s="125" t="s">
        <v>781</v>
      </c>
    </row>
    <row r="1010" spans="1:9" s="108" customFormat="1" ht="45.6">
      <c r="A1010" s="115" t="s">
        <v>1658</v>
      </c>
      <c r="B1010" s="105" t="s">
        <v>48</v>
      </c>
      <c r="C1010" s="120">
        <f>C1251*28.4</f>
        <v>90.00049898164778</v>
      </c>
      <c r="D1010" s="109">
        <v>0.3</v>
      </c>
      <c r="E1010" s="105" t="s">
        <v>26</v>
      </c>
      <c r="F1010" s="125" t="s">
        <v>671</v>
      </c>
      <c r="G1010" s="125" t="s">
        <v>794</v>
      </c>
      <c r="H1010" s="125" t="s">
        <v>26</v>
      </c>
      <c r="I1010" s="125" t="s">
        <v>781</v>
      </c>
    </row>
    <row r="1011" spans="1:9" s="108" customFormat="1" ht="45.6">
      <c r="A1011" s="115" t="s">
        <v>795</v>
      </c>
      <c r="B1011" s="105" t="s">
        <v>48</v>
      </c>
      <c r="C1011" s="120">
        <f>C1251*9.4</f>
        <v>29.788897550263705</v>
      </c>
      <c r="D1011" s="109">
        <v>0.3</v>
      </c>
      <c r="E1011" s="105" t="s">
        <v>26</v>
      </c>
      <c r="F1011" s="125" t="s">
        <v>671</v>
      </c>
      <c r="G1011" s="125" t="s">
        <v>796</v>
      </c>
      <c r="H1011" s="125" t="s">
        <v>26</v>
      </c>
      <c r="I1011" s="125" t="s">
        <v>781</v>
      </c>
    </row>
    <row r="1012" spans="1:9" ht="15.6">
      <c r="A1012" s="17" t="s">
        <v>797</v>
      </c>
      <c r="B1012" s="17" t="s">
        <v>63</v>
      </c>
      <c r="C1012" s="68">
        <v>4.2952999999999998E-2</v>
      </c>
      <c r="D1012" s="59">
        <v>0.3</v>
      </c>
      <c r="E1012" s="17" t="s">
        <v>26</v>
      </c>
      <c r="F1012" s="66" t="s">
        <v>140</v>
      </c>
      <c r="G1012" s="17" t="s">
        <v>798</v>
      </c>
      <c r="H1012" s="66" t="s">
        <v>26</v>
      </c>
      <c r="I1012" s="66" t="s">
        <v>781</v>
      </c>
    </row>
    <row r="1013" spans="1:9">
      <c r="A1013" s="17" t="s">
        <v>799</v>
      </c>
      <c r="B1013" s="17" t="s">
        <v>63</v>
      </c>
      <c r="C1013" s="68">
        <v>3.8133333333333332E-2</v>
      </c>
      <c r="D1013" s="57">
        <v>0.3</v>
      </c>
      <c r="E1013" s="17" t="s">
        <v>26</v>
      </c>
      <c r="F1013" s="17" t="s">
        <v>135</v>
      </c>
      <c r="G1013" s="66"/>
      <c r="H1013" s="66" t="s">
        <v>26</v>
      </c>
      <c r="I1013" s="66" t="s">
        <v>781</v>
      </c>
    </row>
    <row r="1014" spans="1:9" ht="15.6">
      <c r="A1014" s="17" t="s">
        <v>800</v>
      </c>
      <c r="B1014" s="17" t="s">
        <v>63</v>
      </c>
      <c r="C1014" s="68">
        <v>4.6341E-2</v>
      </c>
      <c r="D1014" s="59">
        <v>0.3</v>
      </c>
      <c r="E1014" s="17" t="s">
        <v>26</v>
      </c>
      <c r="F1014" s="17" t="s">
        <v>140</v>
      </c>
      <c r="G1014" s="17" t="s">
        <v>801</v>
      </c>
      <c r="H1014" s="66" t="s">
        <v>26</v>
      </c>
      <c r="I1014" s="66" t="s">
        <v>781</v>
      </c>
    </row>
    <row r="1015" spans="1:9">
      <c r="A1015" s="62" t="s">
        <v>1060</v>
      </c>
      <c r="B1015" s="62" t="s">
        <v>63</v>
      </c>
      <c r="C1015" s="62">
        <v>5.0639999999999998E-2</v>
      </c>
      <c r="D1015" s="63"/>
      <c r="E1015" s="62" t="s">
        <v>26</v>
      </c>
      <c r="F1015" s="62" t="s">
        <v>1059</v>
      </c>
      <c r="G1015" s="62" t="s">
        <v>1061</v>
      </c>
      <c r="H1015" s="62" t="s">
        <v>26</v>
      </c>
      <c r="I1015" s="62" t="s">
        <v>781</v>
      </c>
    </row>
    <row r="1016" spans="1:9">
      <c r="A1016" s="17"/>
      <c r="B1016" s="17"/>
      <c r="C1016" s="17"/>
      <c r="D1016" s="57"/>
      <c r="E1016" s="17"/>
      <c r="F1016" s="17"/>
      <c r="G1016" s="17"/>
      <c r="H1016" s="17"/>
      <c r="I1016" s="17"/>
    </row>
    <row r="1017" spans="1:9">
      <c r="A1017" s="17"/>
      <c r="B1017" s="17"/>
      <c r="C1017" s="17"/>
      <c r="D1017" s="57"/>
      <c r="E1017" s="17"/>
      <c r="F1017" s="17"/>
      <c r="G1017" s="17"/>
      <c r="H1017" s="17"/>
      <c r="I1017" s="17"/>
    </row>
    <row r="1018" spans="1:9">
      <c r="A1018" s="17"/>
      <c r="B1018" s="17"/>
      <c r="C1018" s="17"/>
      <c r="D1018" s="57"/>
      <c r="E1018" s="17"/>
      <c r="F1018" s="17"/>
      <c r="G1018" s="17"/>
      <c r="H1018" s="17"/>
      <c r="I1018" s="17"/>
    </row>
    <row r="1019" spans="1:9" ht="24.9" customHeight="1">
      <c r="A1019" s="51" t="s">
        <v>25</v>
      </c>
      <c r="B1019" s="55"/>
      <c r="C1019" s="55"/>
      <c r="D1019" s="56"/>
      <c r="E1019" s="55"/>
      <c r="F1019" s="55"/>
      <c r="G1019" s="55"/>
      <c r="H1019" s="55"/>
      <c r="I1019" s="55"/>
    </row>
    <row r="1020" spans="1:9">
      <c r="A1020" s="17" t="s">
        <v>106</v>
      </c>
      <c r="B1020" s="17"/>
      <c r="C1020" s="17"/>
      <c r="D1020" s="57"/>
      <c r="E1020" s="17"/>
      <c r="F1020" s="17"/>
      <c r="G1020" s="17"/>
      <c r="H1020" s="17"/>
      <c r="I1020" s="17"/>
    </row>
    <row r="1021" spans="1:9" s="108" customFormat="1">
      <c r="A1021" s="105" t="s">
        <v>1659</v>
      </c>
      <c r="B1021" s="105" t="s">
        <v>807</v>
      </c>
      <c r="C1021" s="120">
        <v>0.13600000000000001</v>
      </c>
      <c r="D1021" s="107">
        <v>0.6</v>
      </c>
      <c r="E1021" s="105" t="s">
        <v>25</v>
      </c>
      <c r="F1021" s="105" t="s">
        <v>1201</v>
      </c>
      <c r="G1021" s="105"/>
      <c r="H1021" s="105" t="s">
        <v>25</v>
      </c>
      <c r="I1021" s="105" t="s">
        <v>802</v>
      </c>
    </row>
    <row r="1022" spans="1:9" s="108" customFormat="1">
      <c r="A1022" s="105" t="s">
        <v>107</v>
      </c>
      <c r="B1022" s="105" t="s">
        <v>48</v>
      </c>
      <c r="C1022" s="120">
        <f>C1021*1.4</f>
        <v>0.19040000000000001</v>
      </c>
      <c r="D1022" s="107">
        <v>0.6</v>
      </c>
      <c r="E1022" s="105" t="s">
        <v>25</v>
      </c>
      <c r="F1022" s="105" t="s">
        <v>1201</v>
      </c>
      <c r="G1022" s="105" t="s">
        <v>1660</v>
      </c>
      <c r="H1022" s="105" t="s">
        <v>25</v>
      </c>
      <c r="I1022" s="105" t="s">
        <v>802</v>
      </c>
    </row>
    <row r="1023" spans="1:9" ht="15.6">
      <c r="A1023" s="17" t="s">
        <v>803</v>
      </c>
      <c r="B1023" s="17" t="s">
        <v>48</v>
      </c>
      <c r="C1023" s="68">
        <v>0.277420957860465</v>
      </c>
      <c r="D1023" s="59">
        <v>0.3</v>
      </c>
      <c r="E1023" s="17" t="s">
        <v>25</v>
      </c>
      <c r="F1023" s="17" t="s">
        <v>183</v>
      </c>
      <c r="G1023" s="17"/>
      <c r="H1023" s="17" t="s">
        <v>25</v>
      </c>
      <c r="I1023" s="17" t="s">
        <v>802</v>
      </c>
    </row>
    <row r="1024" spans="1:9" s="108" customFormat="1">
      <c r="A1024" s="105" t="s">
        <v>804</v>
      </c>
      <c r="B1024" s="105" t="s">
        <v>48</v>
      </c>
      <c r="C1024" s="120">
        <v>0.21199999999999999</v>
      </c>
      <c r="D1024" s="107">
        <v>0.6</v>
      </c>
      <c r="E1024" s="105" t="s">
        <v>25</v>
      </c>
      <c r="F1024" s="105" t="s">
        <v>1201</v>
      </c>
      <c r="G1024" s="105"/>
      <c r="H1024" s="105" t="s">
        <v>25</v>
      </c>
      <c r="I1024" s="105" t="s">
        <v>802</v>
      </c>
    </row>
    <row r="1025" spans="1:9" s="108" customFormat="1">
      <c r="A1025" s="105" t="s">
        <v>805</v>
      </c>
      <c r="B1025" s="105" t="s">
        <v>48</v>
      </c>
      <c r="C1025" s="120">
        <v>0.223</v>
      </c>
      <c r="D1025" s="107">
        <v>0.6</v>
      </c>
      <c r="E1025" s="105" t="s">
        <v>25</v>
      </c>
      <c r="F1025" s="105" t="s">
        <v>1201</v>
      </c>
      <c r="G1025" s="105"/>
      <c r="H1025" s="105" t="s">
        <v>25</v>
      </c>
      <c r="I1025" s="105" t="s">
        <v>802</v>
      </c>
    </row>
    <row r="1026" spans="1:9" s="108" customFormat="1">
      <c r="A1026" s="105" t="s">
        <v>1661</v>
      </c>
      <c r="B1026" s="105" t="s">
        <v>45</v>
      </c>
      <c r="C1026" s="120">
        <v>0.14699999999999999</v>
      </c>
      <c r="D1026" s="126">
        <v>0.6</v>
      </c>
      <c r="E1026" s="105" t="s">
        <v>25</v>
      </c>
      <c r="F1026" s="105" t="s">
        <v>1201</v>
      </c>
      <c r="G1026" s="105"/>
      <c r="H1026" s="105" t="s">
        <v>25</v>
      </c>
      <c r="I1026" s="105" t="s">
        <v>802</v>
      </c>
    </row>
    <row r="1027" spans="1:9" s="108" customFormat="1">
      <c r="A1027" s="105" t="s">
        <v>1662</v>
      </c>
      <c r="B1027" s="105" t="s">
        <v>45</v>
      </c>
      <c r="C1027" s="120">
        <v>0.223</v>
      </c>
      <c r="D1027" s="107">
        <v>0.6</v>
      </c>
      <c r="E1027" s="105" t="s">
        <v>25</v>
      </c>
      <c r="F1027" s="105" t="s">
        <v>1201</v>
      </c>
      <c r="G1027" s="105"/>
      <c r="H1027" s="105" t="s">
        <v>25</v>
      </c>
      <c r="I1027" s="105" t="s">
        <v>802</v>
      </c>
    </row>
    <row r="1028" spans="1:9" s="108" customFormat="1">
      <c r="A1028" s="105" t="s">
        <v>1663</v>
      </c>
      <c r="B1028" s="105" t="s">
        <v>45</v>
      </c>
      <c r="C1028" s="120">
        <v>0.21199999999999999</v>
      </c>
      <c r="D1028" s="126">
        <v>0.6</v>
      </c>
      <c r="E1028" s="105" t="s">
        <v>25</v>
      </c>
      <c r="F1028" s="105" t="s">
        <v>1201</v>
      </c>
      <c r="G1028" s="105"/>
      <c r="H1028" s="105" t="s">
        <v>25</v>
      </c>
      <c r="I1028" s="105" t="s">
        <v>802</v>
      </c>
    </row>
    <row r="1029" spans="1:9" s="108" customFormat="1">
      <c r="A1029" s="105" t="s">
        <v>1664</v>
      </c>
      <c r="B1029" s="105" t="s">
        <v>45</v>
      </c>
      <c r="C1029" s="120">
        <v>0.221</v>
      </c>
      <c r="D1029" s="107">
        <v>0.6</v>
      </c>
      <c r="E1029" s="105" t="s">
        <v>25</v>
      </c>
      <c r="F1029" s="105" t="s">
        <v>1201</v>
      </c>
      <c r="G1029" s="105"/>
      <c r="H1029" s="105" t="s">
        <v>25</v>
      </c>
      <c r="I1029" s="105" t="s">
        <v>802</v>
      </c>
    </row>
    <row r="1030" spans="1:9" s="108" customFormat="1">
      <c r="A1030" s="105" t="s">
        <v>1665</v>
      </c>
      <c r="B1030" s="105" t="s">
        <v>45</v>
      </c>
      <c r="C1030" s="120">
        <v>0.217</v>
      </c>
      <c r="D1030" s="126">
        <v>0.6</v>
      </c>
      <c r="E1030" s="105" t="s">
        <v>25</v>
      </c>
      <c r="F1030" s="105" t="s">
        <v>1201</v>
      </c>
      <c r="G1030" s="105"/>
      <c r="H1030" s="105" t="s">
        <v>25</v>
      </c>
      <c r="I1030" s="105" t="s">
        <v>802</v>
      </c>
    </row>
    <row r="1031" spans="1:9" s="108" customFormat="1">
      <c r="A1031" s="105" t="s">
        <v>1666</v>
      </c>
      <c r="B1031" s="105" t="s">
        <v>45</v>
      </c>
      <c r="C1031" s="120">
        <v>0.218</v>
      </c>
      <c r="D1031" s="107">
        <v>0.6</v>
      </c>
      <c r="E1031" s="105" t="s">
        <v>25</v>
      </c>
      <c r="F1031" s="105" t="s">
        <v>1201</v>
      </c>
      <c r="G1031" s="105"/>
      <c r="H1031" s="105" t="s">
        <v>25</v>
      </c>
      <c r="I1031" s="105" t="s">
        <v>802</v>
      </c>
    </row>
    <row r="1032" spans="1:9" s="108" customFormat="1">
      <c r="A1032" s="105" t="s">
        <v>1667</v>
      </c>
      <c r="B1032" s="105" t="s">
        <v>807</v>
      </c>
      <c r="C1032" s="120">
        <v>0.11600000000000001</v>
      </c>
      <c r="D1032" s="126">
        <v>0.6</v>
      </c>
      <c r="E1032" s="105" t="s">
        <v>25</v>
      </c>
      <c r="F1032" s="105" t="s">
        <v>1201</v>
      </c>
      <c r="G1032" s="105"/>
      <c r="H1032" s="105" t="s">
        <v>25</v>
      </c>
      <c r="I1032" s="105" t="s">
        <v>802</v>
      </c>
    </row>
    <row r="1033" spans="1:9" s="108" customFormat="1">
      <c r="A1033" s="105" t="s">
        <v>1668</v>
      </c>
      <c r="B1033" s="105" t="s">
        <v>807</v>
      </c>
      <c r="C1033" s="120">
        <v>7.6399999999999996E-2</v>
      </c>
      <c r="D1033" s="107">
        <v>0.6</v>
      </c>
      <c r="E1033" s="105" t="s">
        <v>25</v>
      </c>
      <c r="F1033" s="105" t="s">
        <v>1201</v>
      </c>
      <c r="G1033" s="105"/>
      <c r="H1033" s="105" t="s">
        <v>25</v>
      </c>
      <c r="I1033" s="105" t="s">
        <v>802</v>
      </c>
    </row>
    <row r="1034" spans="1:9" s="108" customFormat="1">
      <c r="A1034" s="105" t="s">
        <v>1669</v>
      </c>
      <c r="B1034" s="105" t="s">
        <v>807</v>
      </c>
      <c r="C1034" s="120">
        <v>0.10100000000000001</v>
      </c>
      <c r="D1034" s="126">
        <v>0.6</v>
      </c>
      <c r="E1034" s="105" t="s">
        <v>25</v>
      </c>
      <c r="F1034" s="105" t="s">
        <v>1201</v>
      </c>
      <c r="G1034" s="105"/>
      <c r="H1034" s="105" t="s">
        <v>25</v>
      </c>
      <c r="I1034" s="105" t="s">
        <v>802</v>
      </c>
    </row>
    <row r="1035" spans="1:9" s="108" customFormat="1">
      <c r="A1035" s="105" t="s">
        <v>1670</v>
      </c>
      <c r="B1035" s="105" t="s">
        <v>807</v>
      </c>
      <c r="C1035" s="120">
        <v>0.17499999999999999</v>
      </c>
      <c r="D1035" s="107">
        <v>0.6</v>
      </c>
      <c r="E1035" s="105" t="s">
        <v>25</v>
      </c>
      <c r="F1035" s="105" t="s">
        <v>1201</v>
      </c>
      <c r="G1035" s="105"/>
      <c r="H1035" s="105" t="s">
        <v>25</v>
      </c>
      <c r="I1035" s="105" t="s">
        <v>802</v>
      </c>
    </row>
    <row r="1036" spans="1:9" s="108" customFormat="1">
      <c r="A1036" s="105" t="s">
        <v>1671</v>
      </c>
      <c r="B1036" s="105" t="s">
        <v>807</v>
      </c>
      <c r="C1036" s="120">
        <v>0.109</v>
      </c>
      <c r="D1036" s="126">
        <v>0.6</v>
      </c>
      <c r="E1036" s="105" t="s">
        <v>25</v>
      </c>
      <c r="F1036" s="105" t="s">
        <v>1201</v>
      </c>
      <c r="G1036" s="105"/>
      <c r="H1036" s="105" t="s">
        <v>25</v>
      </c>
      <c r="I1036" s="105" t="s">
        <v>802</v>
      </c>
    </row>
    <row r="1037" spans="1:9" s="108" customFormat="1">
      <c r="A1037" s="105" t="s">
        <v>1672</v>
      </c>
      <c r="B1037" s="105" t="s">
        <v>807</v>
      </c>
      <c r="C1037" s="120">
        <v>0.14899999999999999</v>
      </c>
      <c r="D1037" s="107">
        <v>0.6</v>
      </c>
      <c r="E1037" s="105" t="s">
        <v>25</v>
      </c>
      <c r="F1037" s="105" t="s">
        <v>1201</v>
      </c>
      <c r="G1037" s="105"/>
      <c r="H1037" s="105" t="s">
        <v>25</v>
      </c>
      <c r="I1037" s="105" t="s">
        <v>802</v>
      </c>
    </row>
    <row r="1038" spans="1:9" s="108" customFormat="1">
      <c r="A1038" s="105" t="s">
        <v>1673</v>
      </c>
      <c r="B1038" s="105" t="s">
        <v>807</v>
      </c>
      <c r="C1038" s="120">
        <v>0.16500000000000001</v>
      </c>
      <c r="D1038" s="126">
        <v>0.6</v>
      </c>
      <c r="E1038" s="105" t="s">
        <v>25</v>
      </c>
      <c r="F1038" s="105" t="s">
        <v>1201</v>
      </c>
      <c r="G1038" s="105"/>
      <c r="H1038" s="105" t="s">
        <v>25</v>
      </c>
      <c r="I1038" s="105" t="s">
        <v>802</v>
      </c>
    </row>
    <row r="1039" spans="1:9" s="108" customFormat="1">
      <c r="A1039" s="105" t="s">
        <v>1674</v>
      </c>
      <c r="B1039" s="105" t="s">
        <v>807</v>
      </c>
      <c r="C1039" s="120">
        <v>0.105</v>
      </c>
      <c r="D1039" s="107">
        <v>0.6</v>
      </c>
      <c r="E1039" s="105" t="s">
        <v>25</v>
      </c>
      <c r="F1039" s="105" t="s">
        <v>1201</v>
      </c>
      <c r="G1039" s="105"/>
      <c r="H1039" s="105" t="s">
        <v>25</v>
      </c>
      <c r="I1039" s="105" t="s">
        <v>802</v>
      </c>
    </row>
    <row r="1040" spans="1:9" s="108" customFormat="1">
      <c r="A1040" s="105" t="s">
        <v>1675</v>
      </c>
      <c r="B1040" s="105" t="s">
        <v>807</v>
      </c>
      <c r="C1040" s="120">
        <v>0.14199999999999999</v>
      </c>
      <c r="D1040" s="126">
        <v>0.6</v>
      </c>
      <c r="E1040" s="105" t="s">
        <v>25</v>
      </c>
      <c r="F1040" s="105" t="s">
        <v>1201</v>
      </c>
      <c r="G1040" s="105"/>
      <c r="H1040" s="105" t="s">
        <v>25</v>
      </c>
      <c r="I1040" s="105" t="s">
        <v>802</v>
      </c>
    </row>
    <row r="1041" spans="1:9" s="108" customFormat="1">
      <c r="A1041" s="105" t="s">
        <v>1676</v>
      </c>
      <c r="B1041" s="105" t="s">
        <v>807</v>
      </c>
      <c r="C1041" s="120">
        <v>0.16600000000000001</v>
      </c>
      <c r="D1041" s="107">
        <v>0.6</v>
      </c>
      <c r="E1041" s="105" t="s">
        <v>25</v>
      </c>
      <c r="F1041" s="105" t="s">
        <v>1201</v>
      </c>
      <c r="G1041" s="105"/>
      <c r="H1041" s="105" t="s">
        <v>25</v>
      </c>
      <c r="I1041" s="105" t="s">
        <v>802</v>
      </c>
    </row>
    <row r="1042" spans="1:9" s="108" customFormat="1">
      <c r="A1042" s="105" t="s">
        <v>1677</v>
      </c>
      <c r="B1042" s="105" t="s">
        <v>807</v>
      </c>
      <c r="C1042" s="120">
        <v>0.115</v>
      </c>
      <c r="D1042" s="126">
        <v>0.6</v>
      </c>
      <c r="E1042" s="105" t="s">
        <v>25</v>
      </c>
      <c r="F1042" s="105" t="s">
        <v>1201</v>
      </c>
      <c r="G1042" s="105"/>
      <c r="H1042" s="105" t="s">
        <v>25</v>
      </c>
      <c r="I1042" s="105" t="s">
        <v>802</v>
      </c>
    </row>
    <row r="1043" spans="1:9" s="108" customFormat="1">
      <c r="A1043" s="105" t="s">
        <v>1678</v>
      </c>
      <c r="B1043" s="105" t="s">
        <v>807</v>
      </c>
      <c r="C1043" s="120">
        <v>0.14799999999999999</v>
      </c>
      <c r="D1043" s="107">
        <v>0.6</v>
      </c>
      <c r="E1043" s="105" t="s">
        <v>25</v>
      </c>
      <c r="F1043" s="105" t="s">
        <v>1201</v>
      </c>
      <c r="G1043" s="105"/>
      <c r="H1043" s="105" t="s">
        <v>25</v>
      </c>
      <c r="I1043" s="105" t="s">
        <v>802</v>
      </c>
    </row>
    <row r="1044" spans="1:9" s="108" customFormat="1">
      <c r="A1044" s="105" t="s">
        <v>1679</v>
      </c>
      <c r="B1044" s="105" t="s">
        <v>807</v>
      </c>
      <c r="C1044" s="120">
        <v>0.16300000000000001</v>
      </c>
      <c r="D1044" s="126">
        <v>0.6</v>
      </c>
      <c r="E1044" s="105" t="s">
        <v>25</v>
      </c>
      <c r="F1044" s="105" t="s">
        <v>1201</v>
      </c>
      <c r="G1044" s="105"/>
      <c r="H1044" s="105" t="s">
        <v>25</v>
      </c>
      <c r="I1044" s="105" t="s">
        <v>802</v>
      </c>
    </row>
    <row r="1045" spans="1:9" s="108" customFormat="1">
      <c r="A1045" s="105" t="s">
        <v>1680</v>
      </c>
      <c r="B1045" s="105" t="s">
        <v>807</v>
      </c>
      <c r="C1045" s="120">
        <v>0.113</v>
      </c>
      <c r="D1045" s="107">
        <v>0.6</v>
      </c>
      <c r="E1045" s="105" t="s">
        <v>25</v>
      </c>
      <c r="F1045" s="105" t="s">
        <v>1201</v>
      </c>
      <c r="G1045" s="105"/>
      <c r="H1045" s="105" t="s">
        <v>25</v>
      </c>
      <c r="I1045" s="105" t="s">
        <v>802</v>
      </c>
    </row>
    <row r="1046" spans="1:9" s="108" customFormat="1">
      <c r="A1046" s="105" t="s">
        <v>1681</v>
      </c>
      <c r="B1046" s="105" t="s">
        <v>807</v>
      </c>
      <c r="C1046" s="120">
        <v>0.14599999999999999</v>
      </c>
      <c r="D1046" s="126">
        <v>0.6</v>
      </c>
      <c r="E1046" s="105" t="s">
        <v>25</v>
      </c>
      <c r="F1046" s="105" t="s">
        <v>1201</v>
      </c>
      <c r="G1046" s="105"/>
      <c r="H1046" s="105" t="s">
        <v>25</v>
      </c>
      <c r="I1046" s="105" t="s">
        <v>802</v>
      </c>
    </row>
    <row r="1047" spans="1:9" s="108" customFormat="1">
      <c r="A1047" s="105" t="s">
        <v>1682</v>
      </c>
      <c r="B1047" s="105" t="s">
        <v>807</v>
      </c>
      <c r="C1047" s="120">
        <v>0.156</v>
      </c>
      <c r="D1047" s="107">
        <v>0.6</v>
      </c>
      <c r="E1047" s="105" t="s">
        <v>25</v>
      </c>
      <c r="F1047" s="105" t="s">
        <v>1201</v>
      </c>
      <c r="G1047" s="105"/>
      <c r="H1047" s="105" t="s">
        <v>25</v>
      </c>
      <c r="I1047" s="105" t="s">
        <v>802</v>
      </c>
    </row>
    <row r="1048" spans="1:9" s="108" customFormat="1">
      <c r="A1048" s="105" t="s">
        <v>1683</v>
      </c>
      <c r="B1048" s="105" t="s">
        <v>807</v>
      </c>
      <c r="C1048" s="120">
        <v>0.10299999999999999</v>
      </c>
      <c r="D1048" s="126">
        <v>0.6</v>
      </c>
      <c r="E1048" s="105" t="s">
        <v>25</v>
      </c>
      <c r="F1048" s="105" t="s">
        <v>1201</v>
      </c>
      <c r="G1048" s="105"/>
      <c r="H1048" s="105" t="s">
        <v>25</v>
      </c>
      <c r="I1048" s="105" t="s">
        <v>802</v>
      </c>
    </row>
    <row r="1049" spans="1:9" s="108" customFormat="1">
      <c r="A1049" s="105" t="s">
        <v>1684</v>
      </c>
      <c r="B1049" s="105" t="s">
        <v>45</v>
      </c>
      <c r="C1049" s="120">
        <v>7.1999999999999995E-2</v>
      </c>
      <c r="D1049" s="126">
        <v>0.5</v>
      </c>
      <c r="E1049" s="105" t="s">
        <v>25</v>
      </c>
      <c r="F1049" s="105" t="s">
        <v>1201</v>
      </c>
      <c r="G1049" s="105"/>
      <c r="H1049" s="105" t="s">
        <v>25</v>
      </c>
      <c r="I1049" s="105" t="s">
        <v>802</v>
      </c>
    </row>
    <row r="1050" spans="1:9" s="108" customFormat="1">
      <c r="A1050" s="105" t="s">
        <v>1685</v>
      </c>
      <c r="B1050" s="105" t="s">
        <v>45</v>
      </c>
      <c r="C1050" s="120">
        <v>8.1000000000000003E-2</v>
      </c>
      <c r="D1050" s="107">
        <v>0.5</v>
      </c>
      <c r="E1050" s="105" t="s">
        <v>25</v>
      </c>
      <c r="F1050" s="105" t="s">
        <v>1201</v>
      </c>
      <c r="G1050" s="105"/>
      <c r="H1050" s="105" t="s">
        <v>25</v>
      </c>
      <c r="I1050" s="105" t="s">
        <v>802</v>
      </c>
    </row>
    <row r="1051" spans="1:9" s="108" customFormat="1">
      <c r="A1051" s="105" t="s">
        <v>1686</v>
      </c>
      <c r="B1051" s="105" t="s">
        <v>45</v>
      </c>
      <c r="C1051" s="120">
        <v>0.25800000000000001</v>
      </c>
      <c r="D1051" s="126">
        <v>0.5</v>
      </c>
      <c r="E1051" s="105" t="s">
        <v>25</v>
      </c>
      <c r="F1051" s="105" t="s">
        <v>1201</v>
      </c>
      <c r="G1051" s="105"/>
      <c r="H1051" s="105" t="s">
        <v>25</v>
      </c>
      <c r="I1051" s="105" t="s">
        <v>802</v>
      </c>
    </row>
    <row r="1052" spans="1:9" s="108" customFormat="1">
      <c r="A1052" s="105" t="s">
        <v>1687</v>
      </c>
      <c r="B1052" s="105" t="s">
        <v>45</v>
      </c>
      <c r="C1052" s="120">
        <v>0.125</v>
      </c>
      <c r="D1052" s="107">
        <v>0.5</v>
      </c>
      <c r="E1052" s="105" t="s">
        <v>25</v>
      </c>
      <c r="F1052" s="105" t="s">
        <v>1201</v>
      </c>
      <c r="G1052" s="105"/>
      <c r="H1052" s="105" t="s">
        <v>25</v>
      </c>
      <c r="I1052" s="105" t="s">
        <v>802</v>
      </c>
    </row>
    <row r="1053" spans="1:9" s="108" customFormat="1">
      <c r="A1053" s="105" t="s">
        <v>1688</v>
      </c>
      <c r="B1053" s="105" t="s">
        <v>45</v>
      </c>
      <c r="C1053" s="120">
        <v>0.216</v>
      </c>
      <c r="D1053" s="126">
        <v>0.5</v>
      </c>
      <c r="E1053" s="105" t="s">
        <v>25</v>
      </c>
      <c r="F1053" s="105" t="s">
        <v>1201</v>
      </c>
      <c r="G1053" s="105"/>
      <c r="H1053" s="105" t="s">
        <v>25</v>
      </c>
      <c r="I1053" s="105" t="s">
        <v>802</v>
      </c>
    </row>
    <row r="1054" spans="1:9" s="108" customFormat="1">
      <c r="A1054" s="105" t="s">
        <v>1689</v>
      </c>
      <c r="B1054" s="105" t="s">
        <v>45</v>
      </c>
      <c r="C1054" s="120">
        <v>0.10299999999999999</v>
      </c>
      <c r="D1054" s="107">
        <v>0.7</v>
      </c>
      <c r="E1054" s="105" t="s">
        <v>25</v>
      </c>
      <c r="F1054" s="105" t="s">
        <v>1201</v>
      </c>
      <c r="G1054" s="105"/>
      <c r="H1054" s="105" t="s">
        <v>25</v>
      </c>
      <c r="I1054" s="105" t="s">
        <v>802</v>
      </c>
    </row>
    <row r="1055" spans="1:9" s="108" customFormat="1">
      <c r="A1055" s="105" t="s">
        <v>1690</v>
      </c>
      <c r="B1055" s="105" t="s">
        <v>45</v>
      </c>
      <c r="C1055" s="120">
        <v>7.3300000000000004E-2</v>
      </c>
      <c r="D1055" s="126">
        <v>0.7</v>
      </c>
      <c r="E1055" s="105" t="s">
        <v>25</v>
      </c>
      <c r="F1055" s="105" t="s">
        <v>1201</v>
      </c>
      <c r="G1055" s="105"/>
      <c r="H1055" s="105" t="s">
        <v>25</v>
      </c>
      <c r="I1055" s="105" t="s">
        <v>802</v>
      </c>
    </row>
    <row r="1056" spans="1:9" s="108" customFormat="1">
      <c r="A1056" s="105" t="s">
        <v>1691</v>
      </c>
      <c r="B1056" s="105" t="s">
        <v>45</v>
      </c>
      <c r="C1056" s="120">
        <v>0.183</v>
      </c>
      <c r="D1056" s="107">
        <v>0.7</v>
      </c>
      <c r="E1056" s="105" t="s">
        <v>25</v>
      </c>
      <c r="F1056" s="105" t="s">
        <v>1201</v>
      </c>
      <c r="G1056" s="105"/>
      <c r="H1056" s="105" t="s">
        <v>25</v>
      </c>
      <c r="I1056" s="105" t="s">
        <v>802</v>
      </c>
    </row>
    <row r="1057" spans="1:9" s="108" customFormat="1">
      <c r="A1057" s="105" t="s">
        <v>1692</v>
      </c>
      <c r="B1057" s="105" t="s">
        <v>45</v>
      </c>
      <c r="C1057" s="120">
        <v>0.14699999999999999</v>
      </c>
      <c r="D1057" s="126">
        <v>0.7</v>
      </c>
      <c r="E1057" s="105" t="s">
        <v>25</v>
      </c>
      <c r="F1057" s="105" t="s">
        <v>1201</v>
      </c>
      <c r="G1057" s="105"/>
      <c r="H1057" s="105" t="s">
        <v>25</v>
      </c>
      <c r="I1057" s="105" t="s">
        <v>802</v>
      </c>
    </row>
    <row r="1058" spans="1:9" s="108" customFormat="1">
      <c r="A1058" s="105" t="s">
        <v>1693</v>
      </c>
      <c r="B1058" s="105" t="s">
        <v>45</v>
      </c>
      <c r="C1058" s="120">
        <v>0.217</v>
      </c>
      <c r="D1058" s="107">
        <v>0.7</v>
      </c>
      <c r="E1058" s="105" t="s">
        <v>25</v>
      </c>
      <c r="F1058" s="105" t="s">
        <v>1201</v>
      </c>
      <c r="G1058" s="105"/>
      <c r="H1058" s="105" t="s">
        <v>25</v>
      </c>
      <c r="I1058" s="105" t="s">
        <v>802</v>
      </c>
    </row>
    <row r="1059" spans="1:9" s="108" customFormat="1">
      <c r="A1059" s="105" t="s">
        <v>1694</v>
      </c>
      <c r="B1059" s="105" t="s">
        <v>45</v>
      </c>
      <c r="C1059" s="120">
        <v>0.23200000000000001</v>
      </c>
      <c r="D1059" s="126">
        <v>0.7</v>
      </c>
      <c r="E1059" s="105" t="s">
        <v>25</v>
      </c>
      <c r="F1059" s="105" t="s">
        <v>1201</v>
      </c>
      <c r="G1059" s="105"/>
      <c r="H1059" s="105" t="s">
        <v>25</v>
      </c>
      <c r="I1059" s="105" t="s">
        <v>802</v>
      </c>
    </row>
    <row r="1060" spans="1:9" s="108" customFormat="1">
      <c r="A1060" s="105" t="s">
        <v>1695</v>
      </c>
      <c r="B1060" s="105" t="s">
        <v>45</v>
      </c>
      <c r="C1060" s="120">
        <v>9.5299999999999996E-2</v>
      </c>
      <c r="D1060" s="107">
        <v>0.7</v>
      </c>
      <c r="E1060" s="105" t="s">
        <v>25</v>
      </c>
      <c r="F1060" s="105" t="s">
        <v>1201</v>
      </c>
      <c r="G1060" s="105"/>
      <c r="H1060" s="105" t="s">
        <v>25</v>
      </c>
      <c r="I1060" s="105" t="s">
        <v>802</v>
      </c>
    </row>
    <row r="1061" spans="1:9" s="108" customFormat="1">
      <c r="A1061" s="105" t="s">
        <v>1696</v>
      </c>
      <c r="B1061" s="105" t="s">
        <v>45</v>
      </c>
      <c r="C1061" s="120">
        <v>7.1800000000000003E-2</v>
      </c>
      <c r="D1061" s="126">
        <v>0.7</v>
      </c>
      <c r="E1061" s="105" t="s">
        <v>25</v>
      </c>
      <c r="F1061" s="105" t="s">
        <v>1201</v>
      </c>
      <c r="G1061" s="105"/>
      <c r="H1061" s="105" t="s">
        <v>25</v>
      </c>
      <c r="I1061" s="105" t="s">
        <v>802</v>
      </c>
    </row>
    <row r="1062" spans="1:9" s="108" customFormat="1">
      <c r="A1062" s="105" t="s">
        <v>1697</v>
      </c>
      <c r="B1062" s="105" t="s">
        <v>45</v>
      </c>
      <c r="C1062" s="120">
        <v>0.17100000000000001</v>
      </c>
      <c r="D1062" s="107">
        <v>0.7</v>
      </c>
      <c r="E1062" s="105" t="s">
        <v>25</v>
      </c>
      <c r="F1062" s="105" t="s">
        <v>1201</v>
      </c>
      <c r="G1062" s="105"/>
      <c r="H1062" s="105" t="s">
        <v>25</v>
      </c>
      <c r="I1062" s="105" t="s">
        <v>802</v>
      </c>
    </row>
    <row r="1063" spans="1:9" s="108" customFormat="1">
      <c r="A1063" s="105" t="s">
        <v>1698</v>
      </c>
      <c r="B1063" s="105" t="s">
        <v>45</v>
      </c>
      <c r="C1063" s="120">
        <v>0.13900000000000001</v>
      </c>
      <c r="D1063" s="126">
        <v>0.7</v>
      </c>
      <c r="E1063" s="105" t="s">
        <v>25</v>
      </c>
      <c r="F1063" s="105" t="s">
        <v>1201</v>
      </c>
      <c r="G1063" s="105"/>
      <c r="H1063" s="105" t="s">
        <v>25</v>
      </c>
      <c r="I1063" s="105" t="s">
        <v>802</v>
      </c>
    </row>
    <row r="1064" spans="1:9" s="108" customFormat="1">
      <c r="A1064" s="105" t="s">
        <v>1699</v>
      </c>
      <c r="B1064" s="105" t="s">
        <v>45</v>
      </c>
      <c r="C1064" s="120">
        <v>0.10199999999999999</v>
      </c>
      <c r="D1064" s="107">
        <v>0.7</v>
      </c>
      <c r="E1064" s="105" t="s">
        <v>25</v>
      </c>
      <c r="F1064" s="105" t="s">
        <v>1201</v>
      </c>
      <c r="G1064" s="105"/>
      <c r="H1064" s="105" t="s">
        <v>25</v>
      </c>
      <c r="I1064" s="105" t="s">
        <v>802</v>
      </c>
    </row>
    <row r="1065" spans="1:9" s="108" customFormat="1">
      <c r="A1065" s="105" t="s">
        <v>1700</v>
      </c>
      <c r="B1065" s="105" t="s">
        <v>45</v>
      </c>
      <c r="C1065" s="120">
        <v>0.255</v>
      </c>
      <c r="D1065" s="126">
        <v>0.7</v>
      </c>
      <c r="E1065" s="105" t="s">
        <v>25</v>
      </c>
      <c r="F1065" s="105" t="s">
        <v>1201</v>
      </c>
      <c r="G1065" s="105"/>
      <c r="H1065" s="105" t="s">
        <v>25</v>
      </c>
      <c r="I1065" s="105" t="s">
        <v>802</v>
      </c>
    </row>
    <row r="1066" spans="1:9" s="108" customFormat="1">
      <c r="A1066" s="105" t="s">
        <v>1701</v>
      </c>
      <c r="B1066" s="105" t="s">
        <v>45</v>
      </c>
      <c r="C1066" s="120">
        <v>0.20699999999999999</v>
      </c>
      <c r="D1066" s="107">
        <v>0.7</v>
      </c>
      <c r="E1066" s="105" t="s">
        <v>25</v>
      </c>
      <c r="F1066" s="105" t="s">
        <v>1201</v>
      </c>
      <c r="G1066" s="105"/>
      <c r="H1066" s="105" t="s">
        <v>25</v>
      </c>
      <c r="I1066" s="105" t="s">
        <v>802</v>
      </c>
    </row>
    <row r="1067" spans="1:9" s="108" customFormat="1">
      <c r="A1067" s="105" t="s">
        <v>1702</v>
      </c>
      <c r="B1067" s="105" t="s">
        <v>45</v>
      </c>
      <c r="C1067" s="120">
        <v>0.27700000000000002</v>
      </c>
      <c r="D1067" s="126">
        <v>0.7</v>
      </c>
      <c r="E1067" s="105" t="s">
        <v>25</v>
      </c>
      <c r="F1067" s="105" t="s">
        <v>1201</v>
      </c>
      <c r="G1067" s="105"/>
      <c r="H1067" s="105" t="s">
        <v>25</v>
      </c>
      <c r="I1067" s="105" t="s">
        <v>802</v>
      </c>
    </row>
    <row r="1068" spans="1:9" s="108" customFormat="1">
      <c r="A1068" s="105" t="s">
        <v>1703</v>
      </c>
      <c r="B1068" s="105" t="s">
        <v>45</v>
      </c>
      <c r="C1068" s="120">
        <v>0.34799999999999998</v>
      </c>
      <c r="D1068" s="107">
        <v>0.7</v>
      </c>
      <c r="E1068" s="105" t="s">
        <v>25</v>
      </c>
      <c r="F1068" s="105" t="s">
        <v>1201</v>
      </c>
      <c r="G1068" s="105"/>
      <c r="H1068" s="105" t="s">
        <v>25</v>
      </c>
      <c r="I1068" s="105" t="s">
        <v>802</v>
      </c>
    </row>
    <row r="1069" spans="1:9" ht="15.6">
      <c r="A1069" s="17" t="s">
        <v>806</v>
      </c>
      <c r="B1069" s="17" t="s">
        <v>807</v>
      </c>
      <c r="C1069" s="68">
        <v>0.18185999999999999</v>
      </c>
      <c r="D1069" s="59">
        <v>0.3</v>
      </c>
      <c r="E1069" s="17" t="s">
        <v>25</v>
      </c>
      <c r="F1069" s="17" t="s">
        <v>140</v>
      </c>
      <c r="G1069" s="17"/>
      <c r="H1069" s="17" t="s">
        <v>25</v>
      </c>
      <c r="I1069" s="17" t="s">
        <v>802</v>
      </c>
    </row>
    <row r="1070" spans="1:9" ht="15.6">
      <c r="A1070" s="17" t="s">
        <v>808</v>
      </c>
      <c r="B1070" s="17" t="s">
        <v>807</v>
      </c>
      <c r="C1070" s="68">
        <v>0.17713999999999999</v>
      </c>
      <c r="D1070" s="59">
        <v>0.3</v>
      </c>
      <c r="E1070" s="17" t="s">
        <v>25</v>
      </c>
      <c r="F1070" s="17" t="s">
        <v>140</v>
      </c>
      <c r="G1070" s="17"/>
      <c r="H1070" s="17" t="s">
        <v>25</v>
      </c>
      <c r="I1070" s="17" t="s">
        <v>802</v>
      </c>
    </row>
    <row r="1071" spans="1:9" ht="15.6">
      <c r="A1071" s="17" t="s">
        <v>809</v>
      </c>
      <c r="B1071" s="17" t="s">
        <v>807</v>
      </c>
      <c r="C1071" s="68">
        <v>0.18249000000000001</v>
      </c>
      <c r="D1071" s="59">
        <v>0.3</v>
      </c>
      <c r="E1071" s="17" t="s">
        <v>25</v>
      </c>
      <c r="F1071" s="17" t="s">
        <v>140</v>
      </c>
      <c r="G1071" s="17"/>
      <c r="H1071" s="17" t="s">
        <v>25</v>
      </c>
      <c r="I1071" s="17" t="s">
        <v>802</v>
      </c>
    </row>
    <row r="1072" spans="1:9">
      <c r="A1072" s="17"/>
      <c r="B1072" s="17"/>
      <c r="C1072" s="17"/>
      <c r="D1072" s="57"/>
      <c r="E1072" s="17" t="s">
        <v>25</v>
      </c>
      <c r="F1072" s="17"/>
      <c r="G1072" s="17"/>
      <c r="H1072" s="17"/>
      <c r="I1072" s="17"/>
    </row>
    <row r="1073" spans="1:9">
      <c r="A1073" s="17" t="s">
        <v>109</v>
      </c>
      <c r="B1073" s="17"/>
      <c r="C1073" s="17"/>
      <c r="D1073" s="57"/>
      <c r="E1073" s="17" t="s">
        <v>25</v>
      </c>
      <c r="F1073" s="17"/>
      <c r="G1073" s="17"/>
      <c r="H1073" s="17"/>
      <c r="I1073" s="17"/>
    </row>
    <row r="1074" spans="1:9" s="108" customFormat="1">
      <c r="A1074" s="105" t="s">
        <v>1704</v>
      </c>
      <c r="B1074" s="105" t="s">
        <v>45</v>
      </c>
      <c r="C1074" s="120">
        <v>7.6300000000000007E-2</v>
      </c>
      <c r="D1074" s="107">
        <v>0.6</v>
      </c>
      <c r="E1074" s="105" t="s">
        <v>25</v>
      </c>
      <c r="F1074" s="105" t="s">
        <v>1201</v>
      </c>
      <c r="G1074" s="105"/>
      <c r="H1074" s="105" t="s">
        <v>25</v>
      </c>
      <c r="I1074" s="105" t="s">
        <v>811</v>
      </c>
    </row>
    <row r="1075" spans="1:9" s="108" customFormat="1">
      <c r="A1075" s="115" t="s">
        <v>1705</v>
      </c>
      <c r="B1075" s="105" t="s">
        <v>45</v>
      </c>
      <c r="C1075" s="120">
        <v>7.6300000000000007E-2</v>
      </c>
      <c r="D1075" s="107">
        <v>0.6</v>
      </c>
      <c r="E1075" s="105" t="s">
        <v>25</v>
      </c>
      <c r="F1075" s="105" t="s">
        <v>1201</v>
      </c>
      <c r="G1075" s="105"/>
      <c r="H1075" s="105" t="s">
        <v>25</v>
      </c>
      <c r="I1075" s="105" t="s">
        <v>811</v>
      </c>
    </row>
    <row r="1076" spans="1:9" s="108" customFormat="1">
      <c r="A1076" s="115" t="s">
        <v>1706</v>
      </c>
      <c r="B1076" s="105" t="s">
        <v>45</v>
      </c>
      <c r="C1076" s="120">
        <v>0.191</v>
      </c>
      <c r="D1076" s="107">
        <v>0.6</v>
      </c>
      <c r="E1076" s="105" t="s">
        <v>25</v>
      </c>
      <c r="F1076" s="105" t="s">
        <v>1201</v>
      </c>
      <c r="G1076" s="105"/>
      <c r="H1076" s="105" t="s">
        <v>25</v>
      </c>
      <c r="I1076" s="105" t="s">
        <v>811</v>
      </c>
    </row>
    <row r="1077" spans="1:9" s="108" customFormat="1" ht="30.6">
      <c r="A1077" s="115" t="s">
        <v>812</v>
      </c>
      <c r="B1077" s="105" t="s">
        <v>48</v>
      </c>
      <c r="C1077" s="120">
        <f>0.07*C1239</f>
        <v>0.18900000000000003</v>
      </c>
      <c r="D1077" s="109">
        <v>0.3</v>
      </c>
      <c r="E1077" s="105" t="s">
        <v>25</v>
      </c>
      <c r="F1077" s="105" t="s">
        <v>671</v>
      </c>
      <c r="G1077" s="105"/>
      <c r="H1077" s="105" t="s">
        <v>25</v>
      </c>
      <c r="I1077" s="105" t="s">
        <v>811</v>
      </c>
    </row>
    <row r="1078" spans="1:9" s="108" customFormat="1" ht="30.6">
      <c r="A1078" s="115" t="s">
        <v>813</v>
      </c>
      <c r="B1078" s="105" t="s">
        <v>48</v>
      </c>
      <c r="C1078" s="120">
        <f>0.06*C1239</f>
        <v>0.16200000000000001</v>
      </c>
      <c r="D1078" s="109">
        <v>0.3</v>
      </c>
      <c r="E1078" s="105" t="s">
        <v>25</v>
      </c>
      <c r="F1078" s="105" t="s">
        <v>671</v>
      </c>
      <c r="G1078" s="105"/>
      <c r="H1078" s="105" t="s">
        <v>25</v>
      </c>
      <c r="I1078" s="105" t="s">
        <v>811</v>
      </c>
    </row>
    <row r="1079" spans="1:9" s="108" customFormat="1">
      <c r="A1079" s="105" t="s">
        <v>1707</v>
      </c>
      <c r="B1079" s="105" t="s">
        <v>48</v>
      </c>
      <c r="C1079" s="120">
        <v>7.6300000000000007E-2</v>
      </c>
      <c r="D1079" s="107">
        <v>0.6</v>
      </c>
      <c r="E1079" s="105" t="s">
        <v>25</v>
      </c>
      <c r="F1079" s="105" t="s">
        <v>1201</v>
      </c>
      <c r="G1079" s="105"/>
      <c r="H1079" s="105" t="s">
        <v>25</v>
      </c>
      <c r="I1079" s="105" t="s">
        <v>811</v>
      </c>
    </row>
    <row r="1080" spans="1:9" s="108" customFormat="1">
      <c r="A1080" s="105" t="s">
        <v>1708</v>
      </c>
      <c r="B1080" s="105" t="s">
        <v>48</v>
      </c>
      <c r="C1080" s="120">
        <v>0.191</v>
      </c>
      <c r="D1080" s="107">
        <v>0.6</v>
      </c>
      <c r="E1080" s="105" t="s">
        <v>25</v>
      </c>
      <c r="F1080" s="105" t="s">
        <v>1201</v>
      </c>
      <c r="G1080" s="105"/>
      <c r="H1080" s="105" t="s">
        <v>25</v>
      </c>
      <c r="I1080" s="105" t="s">
        <v>811</v>
      </c>
    </row>
    <row r="1081" spans="1:9" s="108" customFormat="1">
      <c r="A1081" s="105" t="s">
        <v>1709</v>
      </c>
      <c r="B1081" s="105" t="s">
        <v>48</v>
      </c>
      <c r="C1081" s="120">
        <v>2.4899999999999999E-2</v>
      </c>
      <c r="D1081" s="107">
        <v>0.5</v>
      </c>
      <c r="E1081" s="105" t="s">
        <v>25</v>
      </c>
      <c r="F1081" s="105" t="s">
        <v>1201</v>
      </c>
      <c r="G1081" s="105" t="s">
        <v>1710</v>
      </c>
      <c r="H1081" s="105" t="s">
        <v>25</v>
      </c>
      <c r="I1081" s="105" t="s">
        <v>811</v>
      </c>
    </row>
    <row r="1082" spans="1:9" s="108" customFormat="1">
      <c r="A1082" s="105" t="s">
        <v>1711</v>
      </c>
      <c r="B1082" s="105" t="s">
        <v>48</v>
      </c>
      <c r="C1082" s="120">
        <v>1.0999999999999999E-2</v>
      </c>
      <c r="D1082" s="107">
        <v>0.5</v>
      </c>
      <c r="E1082" s="105" t="s">
        <v>25</v>
      </c>
      <c r="F1082" s="105" t="s">
        <v>1201</v>
      </c>
      <c r="G1082" s="105" t="s">
        <v>1712</v>
      </c>
      <c r="H1082" s="105" t="s">
        <v>25</v>
      </c>
      <c r="I1082" s="105" t="s">
        <v>811</v>
      </c>
    </row>
    <row r="1083" spans="1:9">
      <c r="A1083" s="17"/>
      <c r="B1083" s="17"/>
      <c r="C1083" s="17"/>
      <c r="D1083" s="57"/>
      <c r="E1083" s="17" t="s">
        <v>25</v>
      </c>
      <c r="F1083" s="17"/>
      <c r="G1083" s="17"/>
      <c r="H1083" s="17"/>
      <c r="I1083" s="17"/>
    </row>
    <row r="1084" spans="1:9">
      <c r="A1084" s="17" t="s">
        <v>104</v>
      </c>
      <c r="B1084" s="17"/>
      <c r="C1084" s="17"/>
      <c r="D1084" s="57"/>
      <c r="E1084" s="17" t="s">
        <v>25</v>
      </c>
      <c r="F1084" s="17"/>
      <c r="G1084" s="17"/>
      <c r="H1084" s="17"/>
      <c r="I1084" s="17"/>
    </row>
    <row r="1085" spans="1:9">
      <c r="A1085" s="17" t="s">
        <v>814</v>
      </c>
      <c r="B1085" s="17" t="s">
        <v>807</v>
      </c>
      <c r="C1085" s="68">
        <v>4.3998982314029655E-2</v>
      </c>
      <c r="D1085" s="57">
        <v>0.2</v>
      </c>
      <c r="E1085" s="17" t="s">
        <v>25</v>
      </c>
      <c r="F1085" s="17" t="s">
        <v>167</v>
      </c>
      <c r="G1085" s="17"/>
      <c r="H1085" s="17" t="s">
        <v>25</v>
      </c>
      <c r="I1085" s="17" t="s">
        <v>815</v>
      </c>
    </row>
    <row r="1086" spans="1:9" s="108" customFormat="1" ht="30.6">
      <c r="A1086" s="115" t="s">
        <v>816</v>
      </c>
      <c r="B1086" s="105" t="s">
        <v>48</v>
      </c>
      <c r="C1086" s="120">
        <f>20*C1349</f>
        <v>1.198</v>
      </c>
      <c r="D1086" s="109">
        <v>0.3</v>
      </c>
      <c r="E1086" s="105" t="s">
        <v>25</v>
      </c>
      <c r="F1086" s="105" t="s">
        <v>671</v>
      </c>
      <c r="G1086" s="105" t="s">
        <v>817</v>
      </c>
      <c r="H1086" s="105" t="s">
        <v>25</v>
      </c>
      <c r="I1086" s="105" t="s">
        <v>815</v>
      </c>
    </row>
    <row r="1087" spans="1:9">
      <c r="A1087" s="17" t="s">
        <v>818</v>
      </c>
      <c r="B1087" s="17" t="s">
        <v>807</v>
      </c>
      <c r="C1087" s="68">
        <v>5.3330041580041581E-3</v>
      </c>
      <c r="D1087" s="57">
        <v>0.2</v>
      </c>
      <c r="E1087" s="17" t="s">
        <v>25</v>
      </c>
      <c r="F1087" s="17" t="s">
        <v>167</v>
      </c>
      <c r="G1087" s="70"/>
      <c r="H1087" s="17" t="s">
        <v>25</v>
      </c>
      <c r="I1087" s="17" t="s">
        <v>815</v>
      </c>
    </row>
    <row r="1088" spans="1:9">
      <c r="A1088" s="17" t="s">
        <v>819</v>
      </c>
      <c r="B1088" s="17" t="s">
        <v>807</v>
      </c>
      <c r="C1088" s="68">
        <v>9.6407176169700619E-3</v>
      </c>
      <c r="D1088" s="57">
        <v>0.2</v>
      </c>
      <c r="E1088" s="17" t="s">
        <v>25</v>
      </c>
      <c r="F1088" s="17" t="s">
        <v>167</v>
      </c>
      <c r="G1088" s="70"/>
      <c r="H1088" s="17" t="s">
        <v>25</v>
      </c>
      <c r="I1088" s="17" t="s">
        <v>815</v>
      </c>
    </row>
    <row r="1089" spans="1:11" s="108" customFormat="1">
      <c r="A1089" s="105" t="s">
        <v>105</v>
      </c>
      <c r="B1089" s="105" t="s">
        <v>807</v>
      </c>
      <c r="C1089" s="120">
        <v>2.3600000000000001E-3</v>
      </c>
      <c r="D1089" s="107">
        <v>0.2</v>
      </c>
      <c r="E1089" s="105" t="s">
        <v>25</v>
      </c>
      <c r="F1089" s="105" t="s">
        <v>1201</v>
      </c>
      <c r="G1089" s="127"/>
      <c r="H1089" s="105" t="s">
        <v>25</v>
      </c>
      <c r="I1089" s="105" t="s">
        <v>815</v>
      </c>
    </row>
    <row r="1090" spans="1:11">
      <c r="A1090" s="17" t="s">
        <v>820</v>
      </c>
      <c r="B1090" s="17" t="s">
        <v>807</v>
      </c>
      <c r="C1090" s="68">
        <v>1.2981618962432915E-2</v>
      </c>
      <c r="D1090" s="57">
        <v>0.2</v>
      </c>
      <c r="E1090" s="17" t="s">
        <v>25</v>
      </c>
      <c r="F1090" s="17" t="s">
        <v>167</v>
      </c>
      <c r="G1090" s="70"/>
      <c r="H1090" s="17" t="s">
        <v>25</v>
      </c>
      <c r="I1090" s="17" t="s">
        <v>815</v>
      </c>
    </row>
    <row r="1091" spans="1:11" s="108" customFormat="1">
      <c r="A1091" s="105" t="s">
        <v>821</v>
      </c>
      <c r="B1091" s="105" t="s">
        <v>807</v>
      </c>
      <c r="C1091" s="120">
        <v>2.9600000000000001E-2</v>
      </c>
      <c r="D1091" s="107">
        <v>0.6</v>
      </c>
      <c r="E1091" s="105" t="s">
        <v>25</v>
      </c>
      <c r="F1091" s="105" t="s">
        <v>1201</v>
      </c>
      <c r="G1091" s="127"/>
      <c r="H1091" s="105" t="s">
        <v>25</v>
      </c>
      <c r="I1091" s="105" t="s">
        <v>815</v>
      </c>
    </row>
    <row r="1092" spans="1:11" s="108" customFormat="1" ht="30.6">
      <c r="A1092" s="115" t="s">
        <v>822</v>
      </c>
      <c r="B1092" s="105" t="s">
        <v>48</v>
      </c>
      <c r="C1092" s="120">
        <f>13.5*C1349</f>
        <v>0.80864999999999998</v>
      </c>
      <c r="D1092" s="109">
        <v>0.3</v>
      </c>
      <c r="E1092" s="105" t="s">
        <v>25</v>
      </c>
      <c r="F1092" s="105" t="s">
        <v>671</v>
      </c>
      <c r="G1092" s="105" t="s">
        <v>823</v>
      </c>
      <c r="H1092" s="105" t="s">
        <v>25</v>
      </c>
      <c r="I1092" s="105" t="s">
        <v>815</v>
      </c>
    </row>
    <row r="1093" spans="1:11" s="108" customFormat="1" ht="30.6">
      <c r="A1093" s="115" t="s">
        <v>824</v>
      </c>
      <c r="B1093" s="105" t="s">
        <v>48</v>
      </c>
      <c r="C1093" s="120">
        <f>1.7*C1251</f>
        <v>5.3873538122817335</v>
      </c>
      <c r="D1093" s="109">
        <v>0.3</v>
      </c>
      <c r="E1093" s="105" t="s">
        <v>25</v>
      </c>
      <c r="F1093" s="105" t="s">
        <v>671</v>
      </c>
      <c r="G1093" s="105" t="s">
        <v>825</v>
      </c>
      <c r="H1093" s="105" t="s">
        <v>25</v>
      </c>
      <c r="I1093" s="105" t="s">
        <v>815</v>
      </c>
    </row>
    <row r="1094" spans="1:11" s="108" customFormat="1" ht="15.6">
      <c r="A1094" s="115" t="s">
        <v>1713</v>
      </c>
      <c r="B1094" s="105" t="s">
        <v>807</v>
      </c>
      <c r="C1094" s="120">
        <v>5.9199999999999999E-3</v>
      </c>
      <c r="D1094" s="109">
        <v>0.2</v>
      </c>
      <c r="E1094" s="105" t="s">
        <v>25</v>
      </c>
      <c r="F1094" s="105" t="s">
        <v>1201</v>
      </c>
      <c r="G1094" s="105" t="s">
        <v>826</v>
      </c>
      <c r="H1094" s="105" t="s">
        <v>25</v>
      </c>
      <c r="I1094" s="105" t="s">
        <v>815</v>
      </c>
    </row>
    <row r="1095" spans="1:11" ht="15.6">
      <c r="A1095" s="17" t="s">
        <v>827</v>
      </c>
      <c r="B1095" s="17" t="s">
        <v>48</v>
      </c>
      <c r="C1095" s="68">
        <v>5.72</v>
      </c>
      <c r="D1095" s="59">
        <v>0.3</v>
      </c>
      <c r="E1095" s="17" t="s">
        <v>25</v>
      </c>
      <c r="F1095" s="17" t="s">
        <v>810</v>
      </c>
      <c r="G1095" s="17" t="s">
        <v>828</v>
      </c>
      <c r="H1095" s="17" t="s">
        <v>25</v>
      </c>
      <c r="I1095" s="17" t="s">
        <v>815</v>
      </c>
    </row>
    <row r="1096" spans="1:11">
      <c r="A1096" s="17"/>
      <c r="B1096" s="17"/>
      <c r="C1096" s="17"/>
      <c r="D1096" s="57"/>
      <c r="E1096" s="17" t="s">
        <v>25</v>
      </c>
      <c r="F1096" s="17"/>
      <c r="G1096" s="17"/>
      <c r="H1096" s="17"/>
      <c r="I1096" s="17"/>
    </row>
    <row r="1097" spans="1:11">
      <c r="A1097" s="17" t="s">
        <v>110</v>
      </c>
      <c r="B1097" s="17"/>
      <c r="C1097" s="17"/>
      <c r="D1097" s="57"/>
      <c r="E1097" s="17" t="s">
        <v>25</v>
      </c>
      <c r="F1097" s="17"/>
      <c r="G1097" s="17"/>
      <c r="H1097" s="17"/>
      <c r="I1097" s="17"/>
    </row>
    <row r="1098" spans="1:11" s="108" customFormat="1">
      <c r="A1098" s="105" t="s">
        <v>1714</v>
      </c>
      <c r="B1098" s="105" t="s">
        <v>807</v>
      </c>
      <c r="C1098" s="120">
        <v>2.1700000000000001E-2</v>
      </c>
      <c r="D1098" s="107">
        <v>0.7</v>
      </c>
      <c r="E1098" s="105" t="s">
        <v>25</v>
      </c>
      <c r="F1098" s="105" t="s">
        <v>1201</v>
      </c>
      <c r="G1098" s="105"/>
      <c r="H1098" s="105" t="s">
        <v>25</v>
      </c>
      <c r="I1098" s="105" t="s">
        <v>829</v>
      </c>
    </row>
    <row r="1099" spans="1:11" s="108" customFormat="1">
      <c r="A1099" s="105" t="s">
        <v>1715</v>
      </c>
      <c r="B1099" s="105" t="s">
        <v>807</v>
      </c>
      <c r="C1099" s="120">
        <v>0.113</v>
      </c>
      <c r="D1099" s="107">
        <v>0.6</v>
      </c>
      <c r="E1099" s="105" t="s">
        <v>25</v>
      </c>
      <c r="F1099" s="105" t="s">
        <v>1201</v>
      </c>
      <c r="G1099" s="105"/>
      <c r="H1099" s="105" t="s">
        <v>25</v>
      </c>
      <c r="I1099" s="105" t="s">
        <v>829</v>
      </c>
    </row>
    <row r="1100" spans="1:11" s="108" customFormat="1">
      <c r="A1100" s="105" t="s">
        <v>1716</v>
      </c>
      <c r="B1100" s="105" t="s">
        <v>807</v>
      </c>
      <c r="C1100" s="120">
        <v>0.122</v>
      </c>
      <c r="D1100" s="107">
        <v>0.6</v>
      </c>
      <c r="E1100" s="105" t="s">
        <v>25</v>
      </c>
      <c r="F1100" s="105" t="s">
        <v>1201</v>
      </c>
      <c r="G1100" s="105"/>
      <c r="H1100" s="105" t="s">
        <v>25</v>
      </c>
      <c r="I1100" s="105" t="s">
        <v>829</v>
      </c>
    </row>
    <row r="1101" spans="1:11" s="108" customFormat="1">
      <c r="A1101" s="105" t="s">
        <v>1717</v>
      </c>
      <c r="B1101" s="105" t="s">
        <v>807</v>
      </c>
      <c r="C1101" s="120">
        <v>7.4300000000000005E-2</v>
      </c>
      <c r="D1101" s="107">
        <v>0.7</v>
      </c>
      <c r="E1101" s="105" t="s">
        <v>25</v>
      </c>
      <c r="F1101" s="105" t="s">
        <v>1201</v>
      </c>
      <c r="G1101" s="105"/>
      <c r="H1101" s="105" t="s">
        <v>25</v>
      </c>
      <c r="I1101" s="105" t="s">
        <v>829</v>
      </c>
      <c r="K1101" s="128"/>
    </row>
    <row r="1102" spans="1:11" s="108" customFormat="1">
      <c r="A1102" s="105" t="s">
        <v>1718</v>
      </c>
      <c r="B1102" s="105" t="s">
        <v>807</v>
      </c>
      <c r="C1102" s="120">
        <v>7.1099999999999997E-2</v>
      </c>
      <c r="D1102" s="107">
        <v>0.7</v>
      </c>
      <c r="E1102" s="105" t="s">
        <v>25</v>
      </c>
      <c r="F1102" s="105" t="s">
        <v>1201</v>
      </c>
      <c r="G1102" s="105"/>
      <c r="H1102" s="105" t="s">
        <v>25</v>
      </c>
      <c r="I1102" s="105" t="s">
        <v>829</v>
      </c>
      <c r="K1102" s="128"/>
    </row>
    <row r="1103" spans="1:11" s="108" customFormat="1">
      <c r="A1103" s="105" t="s">
        <v>1719</v>
      </c>
      <c r="B1103" s="105" t="s">
        <v>807</v>
      </c>
      <c r="C1103" s="120">
        <v>0.20200000000000001</v>
      </c>
      <c r="D1103" s="107">
        <v>0.6</v>
      </c>
      <c r="E1103" s="105" t="s">
        <v>25</v>
      </c>
      <c r="F1103" s="105" t="s">
        <v>1201</v>
      </c>
      <c r="G1103" s="105"/>
      <c r="H1103" s="105" t="s">
        <v>25</v>
      </c>
      <c r="I1103" s="105" t="s">
        <v>829</v>
      </c>
    </row>
    <row r="1104" spans="1:11" s="108" customFormat="1">
      <c r="A1104" s="105" t="s">
        <v>1720</v>
      </c>
      <c r="B1104" s="105" t="s">
        <v>807</v>
      </c>
      <c r="C1104" s="120">
        <v>0.14699999999999999</v>
      </c>
      <c r="D1104" s="107">
        <v>0.6</v>
      </c>
      <c r="E1104" s="105" t="s">
        <v>25</v>
      </c>
      <c r="F1104" s="105" t="s">
        <v>1201</v>
      </c>
      <c r="G1104" s="105"/>
      <c r="H1104" s="105" t="s">
        <v>25</v>
      </c>
      <c r="I1104" s="105" t="s">
        <v>829</v>
      </c>
    </row>
    <row r="1105" spans="1:9" s="108" customFormat="1">
      <c r="A1105" s="105" t="s">
        <v>1721</v>
      </c>
      <c r="B1105" s="105" t="s">
        <v>807</v>
      </c>
      <c r="C1105" s="120">
        <v>0.151</v>
      </c>
      <c r="D1105" s="107">
        <v>0.6</v>
      </c>
      <c r="E1105" s="105" t="s">
        <v>25</v>
      </c>
      <c r="F1105" s="105" t="s">
        <v>1201</v>
      </c>
      <c r="G1105" s="105"/>
      <c r="H1105" s="105" t="s">
        <v>25</v>
      </c>
      <c r="I1105" s="105" t="s">
        <v>829</v>
      </c>
    </row>
    <row r="1106" spans="1:9" s="108" customFormat="1">
      <c r="A1106" s="105" t="s">
        <v>1722</v>
      </c>
      <c r="B1106" s="105" t="s">
        <v>807</v>
      </c>
      <c r="C1106" s="120">
        <v>2.9499999999999998E-2</v>
      </c>
      <c r="D1106" s="107">
        <v>0.6</v>
      </c>
      <c r="E1106" s="105" t="s">
        <v>25</v>
      </c>
      <c r="F1106" s="105" t="s">
        <v>1201</v>
      </c>
      <c r="G1106" s="105"/>
      <c r="H1106" s="105" t="s">
        <v>25</v>
      </c>
      <c r="I1106" s="105" t="s">
        <v>829</v>
      </c>
    </row>
    <row r="1107" spans="1:9" s="108" customFormat="1" ht="15.6">
      <c r="A1107" s="105" t="s">
        <v>1723</v>
      </c>
      <c r="B1107" s="105" t="s">
        <v>807</v>
      </c>
      <c r="C1107" s="120">
        <v>3.29E-3</v>
      </c>
      <c r="D1107" s="109">
        <v>0.6</v>
      </c>
      <c r="E1107" s="105" t="s">
        <v>25</v>
      </c>
      <c r="F1107" s="105" t="s">
        <v>1201</v>
      </c>
      <c r="G1107" s="105"/>
      <c r="H1107" s="105" t="s">
        <v>25</v>
      </c>
      <c r="I1107" s="105" t="s">
        <v>829</v>
      </c>
    </row>
    <row r="1108" spans="1:9" s="108" customFormat="1" ht="15.6">
      <c r="A1108" s="105" t="s">
        <v>1724</v>
      </c>
      <c r="B1108" s="105" t="s">
        <v>807</v>
      </c>
      <c r="C1108" s="120">
        <v>5.0299999999999997E-3</v>
      </c>
      <c r="D1108" s="109">
        <v>0.6</v>
      </c>
      <c r="E1108" s="105" t="s">
        <v>25</v>
      </c>
      <c r="F1108" s="105" t="s">
        <v>1201</v>
      </c>
      <c r="G1108" s="105"/>
      <c r="H1108" s="105" t="s">
        <v>25</v>
      </c>
      <c r="I1108" s="105" t="s">
        <v>829</v>
      </c>
    </row>
    <row r="1109" spans="1:9" s="108" customFormat="1" ht="15.6">
      <c r="A1109" s="105" t="s">
        <v>1725</v>
      </c>
      <c r="B1109" s="105" t="s">
        <v>807</v>
      </c>
      <c r="C1109" s="120">
        <v>2.7399999999999998E-3</v>
      </c>
      <c r="D1109" s="109">
        <v>0.2</v>
      </c>
      <c r="E1109" s="105" t="s">
        <v>25</v>
      </c>
      <c r="F1109" s="105" t="s">
        <v>1201</v>
      </c>
      <c r="G1109" s="105"/>
      <c r="H1109" s="105" t="s">
        <v>25</v>
      </c>
      <c r="I1109" s="105" t="s">
        <v>829</v>
      </c>
    </row>
    <row r="1110" spans="1:9">
      <c r="A1110" s="17" t="s">
        <v>830</v>
      </c>
      <c r="B1110" s="17" t="s">
        <v>807</v>
      </c>
      <c r="C1110" s="68">
        <v>0.12522805927489422</v>
      </c>
      <c r="D1110" s="57">
        <v>0.2</v>
      </c>
      <c r="E1110" s="17" t="s">
        <v>25</v>
      </c>
      <c r="F1110" s="17" t="s">
        <v>167</v>
      </c>
      <c r="G1110" s="17"/>
      <c r="H1110" s="17" t="s">
        <v>25</v>
      </c>
      <c r="I1110" s="17" t="s">
        <v>829</v>
      </c>
    </row>
    <row r="1111" spans="1:9">
      <c r="A1111" s="17" t="s">
        <v>831</v>
      </c>
      <c r="B1111" s="17" t="s">
        <v>48</v>
      </c>
      <c r="C1111" s="68">
        <v>0.53553001831252722</v>
      </c>
      <c r="D1111" s="57">
        <v>0.10348439307579041</v>
      </c>
      <c r="E1111" s="17" t="s">
        <v>25</v>
      </c>
      <c r="F1111" s="17" t="s">
        <v>167</v>
      </c>
      <c r="G1111" s="17" t="s">
        <v>832</v>
      </c>
      <c r="H1111" s="17" t="s">
        <v>25</v>
      </c>
      <c r="I1111" s="17" t="s">
        <v>829</v>
      </c>
    </row>
    <row r="1112" spans="1:9">
      <c r="A1112" s="17" t="s">
        <v>833</v>
      </c>
      <c r="B1112" s="17" t="s">
        <v>48</v>
      </c>
      <c r="C1112" s="68">
        <v>0.49225779179633927</v>
      </c>
      <c r="D1112" s="57">
        <v>0.10348439307579041</v>
      </c>
      <c r="E1112" s="17" t="s">
        <v>25</v>
      </c>
      <c r="F1112" s="17" t="s">
        <v>167</v>
      </c>
      <c r="G1112" s="17"/>
      <c r="H1112" s="17" t="s">
        <v>25</v>
      </c>
      <c r="I1112" s="17" t="s">
        <v>829</v>
      </c>
    </row>
    <row r="1113" spans="1:9" s="108" customFormat="1" ht="15.6">
      <c r="A1113" s="105" t="s">
        <v>834</v>
      </c>
      <c r="B1113" s="105" t="s">
        <v>807</v>
      </c>
      <c r="C1113" s="120">
        <v>7.28E-3</v>
      </c>
      <c r="D1113" s="109">
        <v>0.2</v>
      </c>
      <c r="E1113" s="105" t="s">
        <v>25</v>
      </c>
      <c r="F1113" s="105" t="s">
        <v>1201</v>
      </c>
      <c r="G1113" s="105"/>
      <c r="H1113" s="105" t="s">
        <v>25</v>
      </c>
      <c r="I1113" s="105" t="s">
        <v>829</v>
      </c>
    </row>
    <row r="1114" spans="1:9" s="108" customFormat="1" ht="15.6">
      <c r="A1114" s="105" t="s">
        <v>835</v>
      </c>
      <c r="B1114" s="105" t="s">
        <v>48</v>
      </c>
      <c r="C1114" s="120">
        <v>0.11872000000000001</v>
      </c>
      <c r="D1114" s="109">
        <v>0.6</v>
      </c>
      <c r="E1114" s="105" t="s">
        <v>25</v>
      </c>
      <c r="F1114" s="105" t="s">
        <v>1201</v>
      </c>
      <c r="G1114" s="105" t="s">
        <v>836</v>
      </c>
      <c r="H1114" s="105" t="s">
        <v>25</v>
      </c>
      <c r="I1114" s="105" t="s">
        <v>829</v>
      </c>
    </row>
    <row r="1115" spans="1:9" s="108" customFormat="1" ht="15.6">
      <c r="A1115" s="105" t="s">
        <v>1726</v>
      </c>
      <c r="B1115" s="105" t="s">
        <v>807</v>
      </c>
      <c r="C1115" s="120">
        <v>2.9499999999999998E-2</v>
      </c>
      <c r="D1115" s="109">
        <v>0.6</v>
      </c>
      <c r="E1115" s="105" t="s">
        <v>25</v>
      </c>
      <c r="F1115" s="105" t="s">
        <v>1201</v>
      </c>
      <c r="G1115" s="105" t="s">
        <v>836</v>
      </c>
      <c r="H1115" s="105" t="s">
        <v>25</v>
      </c>
      <c r="I1115" s="105" t="s">
        <v>829</v>
      </c>
    </row>
    <row r="1116" spans="1:9" s="108" customFormat="1" ht="45.6">
      <c r="A1116" s="115" t="s">
        <v>837</v>
      </c>
      <c r="B1116" s="105" t="s">
        <v>48</v>
      </c>
      <c r="C1116" s="120">
        <f>C1349*2.6</f>
        <v>0.15574000000000002</v>
      </c>
      <c r="D1116" s="109">
        <v>0.3</v>
      </c>
      <c r="E1116" s="105" t="s">
        <v>25</v>
      </c>
      <c r="F1116" s="105" t="s">
        <v>671</v>
      </c>
      <c r="G1116" s="105" t="s">
        <v>838</v>
      </c>
      <c r="H1116" s="105" t="s">
        <v>25</v>
      </c>
      <c r="I1116" s="105" t="s">
        <v>829</v>
      </c>
    </row>
    <row r="1117" spans="1:9" s="108" customFormat="1" ht="45.6">
      <c r="A1117" s="115" t="s">
        <v>839</v>
      </c>
      <c r="B1117" s="105" t="s">
        <v>48</v>
      </c>
      <c r="C1117" s="120">
        <f>C1349*5.87</f>
        <v>0.35161300000000001</v>
      </c>
      <c r="D1117" s="109">
        <v>0.3</v>
      </c>
      <c r="E1117" s="105" t="s">
        <v>25</v>
      </c>
      <c r="F1117" s="105" t="s">
        <v>671</v>
      </c>
      <c r="G1117" s="105" t="s">
        <v>840</v>
      </c>
      <c r="H1117" s="105" t="s">
        <v>25</v>
      </c>
      <c r="I1117" s="105" t="s">
        <v>829</v>
      </c>
    </row>
    <row r="1118" spans="1:9" s="108" customFormat="1" ht="15.6">
      <c r="A1118" s="105" t="s">
        <v>841</v>
      </c>
      <c r="B1118" s="105" t="s">
        <v>807</v>
      </c>
      <c r="C1118" s="120">
        <v>2.6800000000000001E-3</v>
      </c>
      <c r="D1118" s="109">
        <v>0.2</v>
      </c>
      <c r="E1118" s="105" t="s">
        <v>25</v>
      </c>
      <c r="F1118" s="105" t="s">
        <v>1201</v>
      </c>
      <c r="G1118" s="105"/>
      <c r="H1118" s="105" t="s">
        <v>25</v>
      </c>
      <c r="I1118" s="105" t="s">
        <v>829</v>
      </c>
    </row>
    <row r="1119" spans="1:9" s="108" customFormat="1" ht="15" customHeight="1">
      <c r="A1119" s="105" t="s">
        <v>842</v>
      </c>
      <c r="B1119" s="105" t="s">
        <v>807</v>
      </c>
      <c r="C1119" s="120">
        <v>7.28E-3</v>
      </c>
      <c r="D1119" s="109">
        <v>0.2</v>
      </c>
      <c r="E1119" s="105" t="s">
        <v>25</v>
      </c>
      <c r="F1119" s="105" t="s">
        <v>1201</v>
      </c>
      <c r="G1119" s="105"/>
      <c r="H1119" s="105" t="s">
        <v>25</v>
      </c>
      <c r="I1119" s="105" t="s">
        <v>829</v>
      </c>
    </row>
    <row r="1120" spans="1:9" s="108" customFormat="1" ht="15.6">
      <c r="A1120" s="105" t="s">
        <v>843</v>
      </c>
      <c r="B1120" s="105" t="s">
        <v>48</v>
      </c>
      <c r="C1120" s="120">
        <f>0.432*C1251+0.021*C1269/1000</f>
        <v>1.3690708146504169</v>
      </c>
      <c r="D1120" s="109">
        <v>0.3</v>
      </c>
      <c r="E1120" s="105" t="s">
        <v>25</v>
      </c>
      <c r="F1120" s="105" t="s">
        <v>671</v>
      </c>
      <c r="G1120" s="105" t="s">
        <v>844</v>
      </c>
      <c r="H1120" s="105" t="s">
        <v>25</v>
      </c>
      <c r="I1120" s="105" t="s">
        <v>829</v>
      </c>
    </row>
    <row r="1121" spans="1:9" s="108" customFormat="1" ht="15.6">
      <c r="A1121" s="105" t="s">
        <v>845</v>
      </c>
      <c r="B1121" s="105" t="s">
        <v>48</v>
      </c>
      <c r="C1121" s="120">
        <f>0.465*C1251+0.054*C1269/1000</f>
        <v>1.4737260792417686</v>
      </c>
      <c r="D1121" s="109">
        <v>0.3</v>
      </c>
      <c r="E1121" s="105" t="s">
        <v>25</v>
      </c>
      <c r="F1121" s="105" t="s">
        <v>671</v>
      </c>
      <c r="G1121" s="105" t="s">
        <v>846</v>
      </c>
      <c r="H1121" s="105" t="s">
        <v>25</v>
      </c>
      <c r="I1121" s="105" t="s">
        <v>829</v>
      </c>
    </row>
    <row r="1122" spans="1:9" s="108" customFormat="1" ht="15.6">
      <c r="A1122" s="105" t="s">
        <v>847</v>
      </c>
      <c r="B1122" s="105" t="s">
        <v>48</v>
      </c>
      <c r="C1122" s="120">
        <f>0.46*C1251+0.081*C1269/1000</f>
        <v>1.4579441009703515</v>
      </c>
      <c r="D1122" s="109">
        <v>0.3</v>
      </c>
      <c r="E1122" s="105" t="s">
        <v>25</v>
      </c>
      <c r="F1122" s="105" t="s">
        <v>671</v>
      </c>
      <c r="G1122" s="105" t="s">
        <v>848</v>
      </c>
      <c r="H1122" s="105" t="s">
        <v>25</v>
      </c>
      <c r="I1122" s="105" t="s">
        <v>829</v>
      </c>
    </row>
    <row r="1123" spans="1:9">
      <c r="A1123" s="17"/>
      <c r="B1123" s="17"/>
      <c r="C1123" s="17"/>
      <c r="D1123" s="57"/>
      <c r="E1123" s="17" t="s">
        <v>25</v>
      </c>
      <c r="F1123" s="17"/>
      <c r="G1123" s="17"/>
      <c r="H1123" s="17"/>
      <c r="I1123" s="17"/>
    </row>
    <row r="1124" spans="1:9">
      <c r="A1124" s="17" t="s">
        <v>108</v>
      </c>
      <c r="B1124" s="17"/>
      <c r="C1124" s="17"/>
      <c r="D1124" s="57"/>
      <c r="E1124" s="17" t="s">
        <v>25</v>
      </c>
      <c r="F1124" s="17"/>
      <c r="G1124" s="17"/>
      <c r="H1124" s="17"/>
      <c r="I1124" s="17"/>
    </row>
    <row r="1125" spans="1:9" s="108" customFormat="1">
      <c r="A1125" s="105" t="s">
        <v>1727</v>
      </c>
      <c r="B1125" s="105" t="s">
        <v>807</v>
      </c>
      <c r="C1125" s="120">
        <v>0.51900000000000002</v>
      </c>
      <c r="D1125" s="129">
        <v>0.7</v>
      </c>
      <c r="E1125" s="105" t="s">
        <v>25</v>
      </c>
      <c r="F1125" s="105" t="s">
        <v>1201</v>
      </c>
      <c r="G1125" s="105"/>
      <c r="H1125" s="105" t="s">
        <v>25</v>
      </c>
      <c r="I1125" s="105" t="s">
        <v>775</v>
      </c>
    </row>
    <row r="1126" spans="1:9" s="108" customFormat="1">
      <c r="A1126" s="105" t="s">
        <v>1728</v>
      </c>
      <c r="B1126" s="105" t="s">
        <v>807</v>
      </c>
      <c r="C1126" s="120">
        <v>0.28399999999999997</v>
      </c>
      <c r="D1126" s="129">
        <v>0.1</v>
      </c>
      <c r="E1126" s="105" t="s">
        <v>25</v>
      </c>
      <c r="F1126" s="105" t="s">
        <v>1201</v>
      </c>
      <c r="G1126" s="105"/>
      <c r="H1126" s="105" t="s">
        <v>25</v>
      </c>
      <c r="I1126" s="105" t="s">
        <v>775</v>
      </c>
    </row>
    <row r="1127" spans="1:9" s="108" customFormat="1">
      <c r="A1127" s="105" t="s">
        <v>1729</v>
      </c>
      <c r="B1127" s="105" t="s">
        <v>807</v>
      </c>
      <c r="C1127" s="120">
        <v>0.40899999999999997</v>
      </c>
      <c r="D1127" s="129">
        <v>0.7</v>
      </c>
      <c r="E1127" s="105" t="s">
        <v>25</v>
      </c>
      <c r="F1127" s="105" t="s">
        <v>1201</v>
      </c>
      <c r="G1127" s="105"/>
      <c r="H1127" s="105" t="s">
        <v>25</v>
      </c>
      <c r="I1127" s="105" t="s">
        <v>775</v>
      </c>
    </row>
    <row r="1128" spans="1:9" s="108" customFormat="1">
      <c r="A1128" s="105" t="s">
        <v>1730</v>
      </c>
      <c r="B1128" s="105" t="s">
        <v>807</v>
      </c>
      <c r="C1128" s="120">
        <v>0.224</v>
      </c>
      <c r="D1128" s="129">
        <v>0.1</v>
      </c>
      <c r="E1128" s="105" t="s">
        <v>25</v>
      </c>
      <c r="F1128" s="105" t="s">
        <v>1201</v>
      </c>
      <c r="G1128" s="105"/>
      <c r="H1128" s="105" t="s">
        <v>25</v>
      </c>
      <c r="I1128" s="105" t="s">
        <v>775</v>
      </c>
    </row>
    <row r="1129" spans="1:9" s="108" customFormat="1">
      <c r="A1129" s="105" t="s">
        <v>1731</v>
      </c>
      <c r="B1129" s="105" t="s">
        <v>807</v>
      </c>
      <c r="C1129" s="120">
        <v>0.52700000000000002</v>
      </c>
      <c r="D1129" s="129">
        <v>0.7</v>
      </c>
      <c r="E1129" s="105" t="s">
        <v>25</v>
      </c>
      <c r="F1129" s="105" t="s">
        <v>1201</v>
      </c>
      <c r="G1129" s="105"/>
      <c r="H1129" s="105" t="s">
        <v>25</v>
      </c>
      <c r="I1129" s="105" t="s">
        <v>775</v>
      </c>
    </row>
    <row r="1130" spans="1:9" s="108" customFormat="1">
      <c r="A1130" s="105" t="s">
        <v>1732</v>
      </c>
      <c r="B1130" s="105" t="s">
        <v>807</v>
      </c>
      <c r="C1130" s="120">
        <v>0.28899999999999998</v>
      </c>
      <c r="D1130" s="129">
        <v>0.1</v>
      </c>
      <c r="E1130" s="105" t="s">
        <v>25</v>
      </c>
      <c r="F1130" s="105" t="s">
        <v>1201</v>
      </c>
      <c r="G1130" s="105"/>
      <c r="H1130" s="105" t="s">
        <v>25</v>
      </c>
      <c r="I1130" s="105" t="s">
        <v>775</v>
      </c>
    </row>
    <row r="1131" spans="1:9" s="108" customFormat="1">
      <c r="A1131" s="105" t="s">
        <v>1733</v>
      </c>
      <c r="B1131" s="105" t="s">
        <v>807</v>
      </c>
      <c r="C1131" s="120">
        <v>0.36599999999999999</v>
      </c>
      <c r="D1131" s="129">
        <v>0.7</v>
      </c>
      <c r="E1131" s="105" t="s">
        <v>25</v>
      </c>
      <c r="F1131" s="105" t="s">
        <v>1201</v>
      </c>
      <c r="G1131" s="105"/>
      <c r="H1131" s="105" t="s">
        <v>25</v>
      </c>
      <c r="I1131" s="105" t="s">
        <v>775</v>
      </c>
    </row>
    <row r="1132" spans="1:9" s="108" customFormat="1">
      <c r="A1132" s="105" t="s">
        <v>1734</v>
      </c>
      <c r="B1132" s="105" t="s">
        <v>807</v>
      </c>
      <c r="C1132" s="120">
        <v>0.2</v>
      </c>
      <c r="D1132" s="129">
        <v>0.1</v>
      </c>
      <c r="E1132" s="105" t="s">
        <v>25</v>
      </c>
      <c r="F1132" s="105" t="s">
        <v>1201</v>
      </c>
      <c r="G1132" s="105"/>
      <c r="H1132" s="105" t="s">
        <v>25</v>
      </c>
      <c r="I1132" s="105" t="s">
        <v>775</v>
      </c>
    </row>
    <row r="1133" spans="1:9" s="108" customFormat="1">
      <c r="A1133" s="105" t="s">
        <v>1735</v>
      </c>
      <c r="B1133" s="105" t="s">
        <v>807</v>
      </c>
      <c r="C1133" s="120">
        <v>0.26500000000000001</v>
      </c>
      <c r="D1133" s="129">
        <v>0.7</v>
      </c>
      <c r="E1133" s="105" t="s">
        <v>25</v>
      </c>
      <c r="F1133" s="105" t="s">
        <v>1201</v>
      </c>
      <c r="G1133" s="105"/>
      <c r="H1133" s="105" t="s">
        <v>25</v>
      </c>
      <c r="I1133" s="105" t="s">
        <v>775</v>
      </c>
    </row>
    <row r="1134" spans="1:9" s="108" customFormat="1">
      <c r="A1134" s="105" t="s">
        <v>1736</v>
      </c>
      <c r="B1134" s="105" t="s">
        <v>807</v>
      </c>
      <c r="C1134" s="120">
        <v>0.14499999999999999</v>
      </c>
      <c r="D1134" s="129">
        <v>0.1</v>
      </c>
      <c r="E1134" s="105" t="s">
        <v>25</v>
      </c>
      <c r="F1134" s="105" t="s">
        <v>1201</v>
      </c>
      <c r="G1134" s="105"/>
      <c r="H1134" s="105" t="s">
        <v>25</v>
      </c>
      <c r="I1134" s="105" t="s">
        <v>775</v>
      </c>
    </row>
    <row r="1135" spans="1:9" s="108" customFormat="1">
      <c r="A1135" s="105" t="s">
        <v>1737</v>
      </c>
      <c r="B1135" s="105" t="s">
        <v>807</v>
      </c>
      <c r="C1135" s="120">
        <v>0.33600000000000002</v>
      </c>
      <c r="D1135" s="129">
        <v>0.7</v>
      </c>
      <c r="E1135" s="105" t="s">
        <v>25</v>
      </c>
      <c r="F1135" s="105" t="s">
        <v>1201</v>
      </c>
      <c r="G1135" s="105"/>
      <c r="H1135" s="105" t="s">
        <v>25</v>
      </c>
      <c r="I1135" s="105" t="s">
        <v>775</v>
      </c>
    </row>
    <row r="1136" spans="1:9" s="108" customFormat="1">
      <c r="A1136" s="105" t="s">
        <v>1738</v>
      </c>
      <c r="B1136" s="105" t="s">
        <v>807</v>
      </c>
      <c r="C1136" s="120">
        <v>0.184</v>
      </c>
      <c r="D1136" s="129">
        <v>0.1</v>
      </c>
      <c r="E1136" s="105" t="s">
        <v>25</v>
      </c>
      <c r="F1136" s="105" t="s">
        <v>1201</v>
      </c>
      <c r="G1136" s="105"/>
      <c r="H1136" s="105" t="s">
        <v>25</v>
      </c>
      <c r="I1136" s="105" t="s">
        <v>775</v>
      </c>
    </row>
    <row r="1137" spans="1:9" s="108" customFormat="1">
      <c r="A1137" s="105" t="s">
        <v>1739</v>
      </c>
      <c r="B1137" s="105" t="s">
        <v>807</v>
      </c>
      <c r="C1137" s="120">
        <v>0.441</v>
      </c>
      <c r="D1137" s="129">
        <v>0.7</v>
      </c>
      <c r="E1137" s="105" t="s">
        <v>25</v>
      </c>
      <c r="F1137" s="105" t="s">
        <v>1201</v>
      </c>
      <c r="G1137" s="105"/>
      <c r="H1137" s="105" t="s">
        <v>25</v>
      </c>
      <c r="I1137" s="105" t="s">
        <v>775</v>
      </c>
    </row>
    <row r="1138" spans="1:9" s="108" customFormat="1">
      <c r="A1138" s="105" t="s">
        <v>1740</v>
      </c>
      <c r="B1138" s="105" t="s">
        <v>807</v>
      </c>
      <c r="C1138" s="120">
        <v>0.24099999999999999</v>
      </c>
      <c r="D1138" s="129">
        <v>0.1</v>
      </c>
      <c r="E1138" s="105" t="s">
        <v>25</v>
      </c>
      <c r="F1138" s="105" t="s">
        <v>1201</v>
      </c>
      <c r="G1138" s="105"/>
      <c r="H1138" s="105" t="s">
        <v>25</v>
      </c>
      <c r="I1138" s="105" t="s">
        <v>775</v>
      </c>
    </row>
    <row r="1139" spans="1:9" s="108" customFormat="1">
      <c r="A1139" s="105" t="s">
        <v>1741</v>
      </c>
      <c r="B1139" s="105" t="s">
        <v>807</v>
      </c>
      <c r="C1139" s="120">
        <v>0.25900000000000001</v>
      </c>
      <c r="D1139" s="129">
        <v>0.7</v>
      </c>
      <c r="E1139" s="105" t="s">
        <v>25</v>
      </c>
      <c r="F1139" s="105" t="s">
        <v>1201</v>
      </c>
      <c r="G1139" s="105"/>
      <c r="H1139" s="105" t="s">
        <v>25</v>
      </c>
      <c r="I1139" s="105" t="s">
        <v>775</v>
      </c>
    </row>
    <row r="1140" spans="1:9" s="108" customFormat="1">
      <c r="A1140" s="105" t="s">
        <v>1742</v>
      </c>
      <c r="B1140" s="105" t="s">
        <v>807</v>
      </c>
      <c r="C1140" s="120">
        <v>0.14199999999999999</v>
      </c>
      <c r="D1140" s="129">
        <v>0.1</v>
      </c>
      <c r="E1140" s="105" t="s">
        <v>25</v>
      </c>
      <c r="F1140" s="105" t="s">
        <v>1201</v>
      </c>
      <c r="G1140" s="105"/>
      <c r="H1140" s="105" t="s">
        <v>25</v>
      </c>
      <c r="I1140" s="105" t="s">
        <v>775</v>
      </c>
    </row>
    <row r="1141" spans="1:9" s="108" customFormat="1">
      <c r="A1141" s="105" t="s">
        <v>1743</v>
      </c>
      <c r="B1141" s="105" t="s">
        <v>807</v>
      </c>
      <c r="C1141" s="120">
        <v>0.186</v>
      </c>
      <c r="D1141" s="129">
        <v>0.7</v>
      </c>
      <c r="E1141" s="105" t="s">
        <v>25</v>
      </c>
      <c r="F1141" s="105" t="s">
        <v>1201</v>
      </c>
      <c r="G1141" s="105"/>
      <c r="H1141" s="105" t="s">
        <v>25</v>
      </c>
      <c r="I1141" s="105" t="s">
        <v>775</v>
      </c>
    </row>
    <row r="1142" spans="1:9" s="108" customFormat="1">
      <c r="A1142" s="105" t="s">
        <v>1744</v>
      </c>
      <c r="B1142" s="105" t="s">
        <v>807</v>
      </c>
      <c r="C1142" s="120">
        <v>0.10199999999999999</v>
      </c>
      <c r="D1142" s="129">
        <v>0.1</v>
      </c>
      <c r="E1142" s="105" t="s">
        <v>25</v>
      </c>
      <c r="F1142" s="105" t="s">
        <v>1201</v>
      </c>
      <c r="G1142" s="105"/>
      <c r="H1142" s="105" t="s">
        <v>25</v>
      </c>
      <c r="I1142" s="105" t="s">
        <v>775</v>
      </c>
    </row>
    <row r="1143" spans="1:9" s="108" customFormat="1">
      <c r="A1143" s="105" t="s">
        <v>1745</v>
      </c>
      <c r="B1143" s="105" t="s">
        <v>807</v>
      </c>
      <c r="C1143" s="120">
        <v>0.23</v>
      </c>
      <c r="D1143" s="129">
        <v>0.7</v>
      </c>
      <c r="E1143" s="105" t="s">
        <v>25</v>
      </c>
      <c r="F1143" s="105" t="s">
        <v>1201</v>
      </c>
      <c r="G1143" s="105"/>
      <c r="H1143" s="105" t="s">
        <v>25</v>
      </c>
      <c r="I1143" s="105" t="s">
        <v>775</v>
      </c>
    </row>
    <row r="1144" spans="1:9" s="108" customFormat="1">
      <c r="A1144" s="105" t="s">
        <v>1746</v>
      </c>
      <c r="B1144" s="105" t="s">
        <v>807</v>
      </c>
      <c r="C1144" s="120">
        <v>0.126</v>
      </c>
      <c r="D1144" s="129">
        <v>0.1</v>
      </c>
      <c r="E1144" s="105" t="s">
        <v>25</v>
      </c>
      <c r="F1144" s="105" t="s">
        <v>1201</v>
      </c>
      <c r="G1144" s="105"/>
      <c r="H1144" s="105" t="s">
        <v>25</v>
      </c>
      <c r="I1144" s="105" t="s">
        <v>775</v>
      </c>
    </row>
    <row r="1145" spans="1:9" s="108" customFormat="1">
      <c r="A1145" s="105" t="s">
        <v>1747</v>
      </c>
      <c r="B1145" s="105" t="s">
        <v>807</v>
      </c>
      <c r="C1145" s="120">
        <v>0.30499999999999999</v>
      </c>
      <c r="D1145" s="129">
        <v>0.7</v>
      </c>
      <c r="E1145" s="105" t="s">
        <v>25</v>
      </c>
      <c r="F1145" s="105" t="s">
        <v>1201</v>
      </c>
      <c r="G1145" s="105"/>
      <c r="H1145" s="105" t="s">
        <v>25</v>
      </c>
      <c r="I1145" s="105" t="s">
        <v>775</v>
      </c>
    </row>
    <row r="1146" spans="1:9" s="108" customFormat="1">
      <c r="A1146" s="105" t="s">
        <v>1748</v>
      </c>
      <c r="B1146" s="105" t="s">
        <v>807</v>
      </c>
      <c r="C1146" s="120">
        <v>0.16700000000000001</v>
      </c>
      <c r="D1146" s="129">
        <v>0.1</v>
      </c>
      <c r="E1146" s="105" t="s">
        <v>25</v>
      </c>
      <c r="F1146" s="105" t="s">
        <v>1201</v>
      </c>
      <c r="G1146" s="105"/>
      <c r="H1146" s="105" t="s">
        <v>25</v>
      </c>
      <c r="I1146" s="105" t="s">
        <v>775</v>
      </c>
    </row>
    <row r="1147" spans="1:9" s="108" customFormat="1">
      <c r="A1147" s="105" t="s">
        <v>1749</v>
      </c>
      <c r="B1147" s="105" t="s">
        <v>807</v>
      </c>
      <c r="C1147" s="120">
        <v>0.21</v>
      </c>
      <c r="D1147" s="129">
        <v>0.7</v>
      </c>
      <c r="E1147" s="105" t="s">
        <v>25</v>
      </c>
      <c r="F1147" s="105" t="s">
        <v>1201</v>
      </c>
      <c r="G1147" s="105"/>
      <c r="H1147" s="105" t="s">
        <v>25</v>
      </c>
      <c r="I1147" s="105" t="s">
        <v>775</v>
      </c>
    </row>
    <row r="1148" spans="1:9" s="108" customFormat="1">
      <c r="A1148" s="105" t="s">
        <v>1750</v>
      </c>
      <c r="B1148" s="105" t="s">
        <v>807</v>
      </c>
      <c r="C1148" s="120">
        <v>0.115</v>
      </c>
      <c r="D1148" s="129">
        <v>0.1</v>
      </c>
      <c r="E1148" s="105" t="s">
        <v>25</v>
      </c>
      <c r="F1148" s="105" t="s">
        <v>1201</v>
      </c>
      <c r="G1148" s="105"/>
      <c r="H1148" s="105" t="s">
        <v>25</v>
      </c>
      <c r="I1148" s="105" t="s">
        <v>775</v>
      </c>
    </row>
    <row r="1149" spans="1:9" s="108" customFormat="1">
      <c r="A1149" s="105" t="s">
        <v>1751</v>
      </c>
      <c r="B1149" s="105" t="s">
        <v>807</v>
      </c>
      <c r="C1149" s="120">
        <v>0.17799999999999999</v>
      </c>
      <c r="D1149" s="129">
        <v>0.7</v>
      </c>
      <c r="E1149" s="105" t="s">
        <v>25</v>
      </c>
      <c r="F1149" s="105" t="s">
        <v>1201</v>
      </c>
      <c r="G1149" s="105"/>
      <c r="H1149" s="105" t="s">
        <v>25</v>
      </c>
      <c r="I1149" s="105" t="s">
        <v>775</v>
      </c>
    </row>
    <row r="1150" spans="1:9" s="108" customFormat="1">
      <c r="A1150" s="105" t="s">
        <v>1752</v>
      </c>
      <c r="B1150" s="105" t="s">
        <v>807</v>
      </c>
      <c r="C1150" s="120">
        <v>9.7699999999999995E-2</v>
      </c>
      <c r="D1150" s="129">
        <v>0.1</v>
      </c>
      <c r="E1150" s="105" t="s">
        <v>25</v>
      </c>
      <c r="F1150" s="105" t="s">
        <v>1201</v>
      </c>
      <c r="G1150" s="105"/>
      <c r="H1150" s="105" t="s">
        <v>25</v>
      </c>
      <c r="I1150" s="105" t="s">
        <v>775</v>
      </c>
    </row>
    <row r="1151" spans="1:9" s="108" customFormat="1">
      <c r="A1151" s="105" t="s">
        <v>1753</v>
      </c>
      <c r="B1151" s="105" t="s">
        <v>807</v>
      </c>
      <c r="C1151" s="120">
        <v>0.152</v>
      </c>
      <c r="D1151" s="129">
        <v>0.7</v>
      </c>
      <c r="E1151" s="105" t="s">
        <v>25</v>
      </c>
      <c r="F1151" s="105" t="s">
        <v>1201</v>
      </c>
      <c r="G1151" s="105"/>
      <c r="H1151" s="105" t="s">
        <v>25</v>
      </c>
      <c r="I1151" s="105" t="s">
        <v>775</v>
      </c>
    </row>
    <row r="1152" spans="1:9" s="108" customFormat="1">
      <c r="A1152" s="105" t="s">
        <v>1754</v>
      </c>
      <c r="B1152" s="105" t="s">
        <v>807</v>
      </c>
      <c r="C1152" s="120">
        <v>8.3099999999999993E-2</v>
      </c>
      <c r="D1152" s="129">
        <v>0.1</v>
      </c>
      <c r="E1152" s="105" t="s">
        <v>25</v>
      </c>
      <c r="F1152" s="105" t="s">
        <v>1201</v>
      </c>
      <c r="G1152" s="105"/>
      <c r="H1152" s="105" t="s">
        <v>25</v>
      </c>
      <c r="I1152" s="105" t="s">
        <v>775</v>
      </c>
    </row>
    <row r="1153" spans="1:9" s="108" customFormat="1">
      <c r="A1153" s="105" t="s">
        <v>1755</v>
      </c>
      <c r="B1153" s="105" t="s">
        <v>807</v>
      </c>
      <c r="C1153" s="120">
        <v>0.25900000000000001</v>
      </c>
      <c r="D1153" s="129">
        <v>0.7</v>
      </c>
      <c r="E1153" s="105" t="s">
        <v>25</v>
      </c>
      <c r="F1153" s="105" t="s">
        <v>1201</v>
      </c>
      <c r="G1153" s="105"/>
      <c r="H1153" s="105" t="s">
        <v>25</v>
      </c>
      <c r="I1153" s="105" t="s">
        <v>775</v>
      </c>
    </row>
    <row r="1154" spans="1:9" s="108" customFormat="1">
      <c r="A1154" s="105" t="s">
        <v>1756</v>
      </c>
      <c r="B1154" s="105" t="s">
        <v>807</v>
      </c>
      <c r="C1154" s="120">
        <v>0.14199999999999999</v>
      </c>
      <c r="D1154" s="129">
        <v>0.1</v>
      </c>
      <c r="E1154" s="105" t="s">
        <v>25</v>
      </c>
      <c r="F1154" s="105" t="s">
        <v>1201</v>
      </c>
      <c r="G1154" s="105"/>
      <c r="H1154" s="105" t="s">
        <v>25</v>
      </c>
      <c r="I1154" s="105" t="s">
        <v>775</v>
      </c>
    </row>
    <row r="1155" spans="1:9" s="108" customFormat="1">
      <c r="A1155" s="105" t="s">
        <v>1757</v>
      </c>
      <c r="B1155" s="105" t="s">
        <v>807</v>
      </c>
      <c r="C1155" s="120">
        <v>0.152</v>
      </c>
      <c r="D1155" s="129">
        <v>0.7</v>
      </c>
      <c r="E1155" s="105" t="s">
        <v>25</v>
      </c>
      <c r="F1155" s="105" t="s">
        <v>1201</v>
      </c>
      <c r="G1155" s="105"/>
      <c r="H1155" s="105" t="s">
        <v>25</v>
      </c>
      <c r="I1155" s="105" t="s">
        <v>775</v>
      </c>
    </row>
    <row r="1156" spans="1:9" s="108" customFormat="1">
      <c r="A1156" s="105" t="s">
        <v>1758</v>
      </c>
      <c r="B1156" s="105" t="s">
        <v>807</v>
      </c>
      <c r="C1156" s="120">
        <v>8.3299999999999999E-2</v>
      </c>
      <c r="D1156" s="129">
        <v>0.1</v>
      </c>
      <c r="E1156" s="105" t="s">
        <v>25</v>
      </c>
      <c r="F1156" s="105" t="s">
        <v>1201</v>
      </c>
      <c r="G1156" s="105"/>
      <c r="H1156" s="105" t="s">
        <v>25</v>
      </c>
      <c r="I1156" s="105" t="s">
        <v>775</v>
      </c>
    </row>
    <row r="1157" spans="1:9" s="108" customFormat="1">
      <c r="A1157" s="105" t="s">
        <v>1759</v>
      </c>
      <c r="B1157" s="105" t="s">
        <v>807</v>
      </c>
      <c r="C1157" s="120">
        <v>0.187</v>
      </c>
      <c r="D1157" s="129">
        <v>0.7</v>
      </c>
      <c r="E1157" s="105" t="s">
        <v>25</v>
      </c>
      <c r="F1157" s="105" t="s">
        <v>1201</v>
      </c>
      <c r="G1157" s="105"/>
      <c r="H1157" s="105" t="s">
        <v>25</v>
      </c>
      <c r="I1157" s="105" t="s">
        <v>775</v>
      </c>
    </row>
    <row r="1158" spans="1:9" s="108" customFormat="1">
      <c r="A1158" s="105" t="s">
        <v>1760</v>
      </c>
      <c r="B1158" s="105" t="s">
        <v>807</v>
      </c>
      <c r="C1158" s="120">
        <v>0.10299999999999999</v>
      </c>
      <c r="D1158" s="129">
        <v>0.1</v>
      </c>
      <c r="E1158" s="105" t="s">
        <v>25</v>
      </c>
      <c r="F1158" s="105" t="s">
        <v>1201</v>
      </c>
      <c r="G1158" s="105"/>
      <c r="H1158" s="105" t="s">
        <v>25</v>
      </c>
      <c r="I1158" s="105" t="s">
        <v>775</v>
      </c>
    </row>
    <row r="1159" spans="1:9" ht="15.6">
      <c r="A1159" s="17" t="s">
        <v>849</v>
      </c>
      <c r="B1159" s="17" t="s">
        <v>523</v>
      </c>
      <c r="C1159" s="68">
        <v>96.864000000000004</v>
      </c>
      <c r="D1159" s="59">
        <v>0.3</v>
      </c>
      <c r="E1159" s="17" t="s">
        <v>25</v>
      </c>
      <c r="F1159" s="17" t="s">
        <v>140</v>
      </c>
      <c r="G1159" s="17" t="s">
        <v>850</v>
      </c>
      <c r="H1159" s="17" t="s">
        <v>25</v>
      </c>
      <c r="I1159" s="17" t="s">
        <v>775</v>
      </c>
    </row>
    <row r="1160" spans="1:9" s="108" customFormat="1">
      <c r="A1160" s="105" t="s">
        <v>851</v>
      </c>
      <c r="B1160" s="105" t="s">
        <v>774</v>
      </c>
      <c r="C1160" s="120">
        <f>60*C1153</f>
        <v>15.540000000000001</v>
      </c>
      <c r="D1160" s="107">
        <v>0.2</v>
      </c>
      <c r="E1160" s="105" t="s">
        <v>25</v>
      </c>
      <c r="F1160" s="105" t="s">
        <v>1649</v>
      </c>
      <c r="G1160" s="105" t="s">
        <v>1761</v>
      </c>
      <c r="H1160" s="105" t="s">
        <v>25</v>
      </c>
      <c r="I1160" s="105" t="s">
        <v>775</v>
      </c>
    </row>
    <row r="1161" spans="1:9" s="108" customFormat="1">
      <c r="A1161" s="105" t="s">
        <v>852</v>
      </c>
      <c r="B1161" s="105" t="s">
        <v>774</v>
      </c>
      <c r="C1161" s="120">
        <f>150*C1157</f>
        <v>28.05</v>
      </c>
      <c r="D1161" s="107">
        <v>0.2</v>
      </c>
      <c r="E1161" s="105" t="s">
        <v>25</v>
      </c>
      <c r="F1161" s="105" t="s">
        <v>1649</v>
      </c>
      <c r="G1161" s="105" t="s">
        <v>1762</v>
      </c>
      <c r="H1161" s="105" t="s">
        <v>25</v>
      </c>
      <c r="I1161" s="105" t="s">
        <v>775</v>
      </c>
    </row>
    <row r="1162" spans="1:9" s="108" customFormat="1">
      <c r="A1162" s="105" t="s">
        <v>853</v>
      </c>
      <c r="B1162" s="105" t="s">
        <v>774</v>
      </c>
      <c r="C1162" s="120">
        <f>280*C1155</f>
        <v>42.56</v>
      </c>
      <c r="D1162" s="107">
        <v>0.2</v>
      </c>
      <c r="E1162" s="105" t="s">
        <v>25</v>
      </c>
      <c r="F1162" s="105" t="s">
        <v>1649</v>
      </c>
      <c r="G1162" s="105" t="s">
        <v>1763</v>
      </c>
      <c r="H1162" s="105" t="s">
        <v>25</v>
      </c>
      <c r="I1162" s="105" t="s">
        <v>775</v>
      </c>
    </row>
    <row r="1163" spans="1:9">
      <c r="A1163" s="17"/>
      <c r="B1163" s="17"/>
      <c r="C1163" s="17"/>
      <c r="D1163" s="57"/>
      <c r="E1163" s="17" t="s">
        <v>25</v>
      </c>
      <c r="F1163" s="17"/>
      <c r="G1163" s="17"/>
      <c r="H1163" s="17"/>
      <c r="I1163" s="17"/>
    </row>
    <row r="1164" spans="1:9">
      <c r="A1164" s="17" t="s">
        <v>854</v>
      </c>
      <c r="B1164" s="17"/>
      <c r="C1164" s="17"/>
      <c r="D1164" s="57"/>
      <c r="E1164" s="17" t="s">
        <v>25</v>
      </c>
      <c r="F1164" s="17"/>
      <c r="G1164" s="17"/>
      <c r="H1164" s="17"/>
      <c r="I1164" s="17"/>
    </row>
    <row r="1165" spans="1:9">
      <c r="A1165" s="17" t="s">
        <v>855</v>
      </c>
      <c r="B1165" s="17" t="s">
        <v>807</v>
      </c>
      <c r="C1165" s="68">
        <v>0.21744631383452306</v>
      </c>
      <c r="D1165" s="57">
        <v>0.5</v>
      </c>
      <c r="E1165" s="17" t="s">
        <v>25</v>
      </c>
      <c r="F1165" s="17" t="s">
        <v>167</v>
      </c>
      <c r="G1165" s="17"/>
      <c r="H1165" s="17" t="s">
        <v>25</v>
      </c>
      <c r="I1165" s="17" t="s">
        <v>856</v>
      </c>
    </row>
    <row r="1166" spans="1:9">
      <c r="A1166" s="17" t="s">
        <v>857</v>
      </c>
      <c r="B1166" s="17" t="s">
        <v>807</v>
      </c>
      <c r="C1166" s="68">
        <v>0.25083554526516266</v>
      </c>
      <c r="D1166" s="57">
        <v>0.5</v>
      </c>
      <c r="E1166" s="17" t="s">
        <v>25</v>
      </c>
      <c r="F1166" s="17" t="s">
        <v>167</v>
      </c>
      <c r="G1166" s="17"/>
      <c r="H1166" s="17" t="s">
        <v>25</v>
      </c>
      <c r="I1166" s="17" t="s">
        <v>856</v>
      </c>
    </row>
    <row r="1167" spans="1:9" s="108" customFormat="1" ht="15.6">
      <c r="A1167" s="105" t="s">
        <v>858</v>
      </c>
      <c r="B1167" s="105" t="s">
        <v>48</v>
      </c>
      <c r="C1167" s="120">
        <f>64.64*C1284+8.26*C1302</f>
        <v>214.58820000000003</v>
      </c>
      <c r="D1167" s="109">
        <v>0.3</v>
      </c>
      <c r="E1167" s="105" t="s">
        <v>25</v>
      </c>
      <c r="F1167" s="105" t="s">
        <v>671</v>
      </c>
      <c r="G1167" s="105" t="s">
        <v>859</v>
      </c>
      <c r="H1167" s="105" t="s">
        <v>25</v>
      </c>
      <c r="I1167" s="105" t="s">
        <v>856</v>
      </c>
    </row>
    <row r="1168" spans="1:9" s="108" customFormat="1" ht="15.6">
      <c r="A1168" s="105" t="s">
        <v>860</v>
      </c>
      <c r="B1168" s="105" t="s">
        <v>48</v>
      </c>
      <c r="C1168" s="120">
        <f>21.55*C1284+2.76*C1302</f>
        <v>71.559500000000014</v>
      </c>
      <c r="D1168" s="109">
        <v>0.3</v>
      </c>
      <c r="E1168" s="105" t="s">
        <v>25</v>
      </c>
      <c r="F1168" s="105" t="s">
        <v>671</v>
      </c>
      <c r="G1168" s="105" t="s">
        <v>861</v>
      </c>
      <c r="H1168" s="105" t="s">
        <v>25</v>
      </c>
      <c r="I1168" s="105" t="s">
        <v>856</v>
      </c>
    </row>
    <row r="1169" spans="1:9" s="108" customFormat="1" ht="15.6">
      <c r="A1169" s="105" t="s">
        <v>862</v>
      </c>
      <c r="B1169" s="105" t="s">
        <v>48</v>
      </c>
      <c r="C1169" s="120">
        <f>33.59*C1284+23.22*C1302</f>
        <v>169.23970000000003</v>
      </c>
      <c r="D1169" s="109">
        <v>0.3</v>
      </c>
      <c r="E1169" s="105" t="s">
        <v>25</v>
      </c>
      <c r="F1169" s="105" t="s">
        <v>671</v>
      </c>
      <c r="G1169" s="105" t="s">
        <v>863</v>
      </c>
      <c r="H1169" s="105" t="s">
        <v>25</v>
      </c>
      <c r="I1169" s="105" t="s">
        <v>856</v>
      </c>
    </row>
    <row r="1170" spans="1:9" s="108" customFormat="1" ht="15.6">
      <c r="A1170" s="105" t="s">
        <v>864</v>
      </c>
      <c r="B1170" s="105" t="s">
        <v>48</v>
      </c>
      <c r="C1170" s="120">
        <f>11.86*C1284+7.74*C1302</f>
        <v>58.3568</v>
      </c>
      <c r="D1170" s="109">
        <v>0.3</v>
      </c>
      <c r="E1170" s="105" t="s">
        <v>25</v>
      </c>
      <c r="F1170" s="105" t="s">
        <v>671</v>
      </c>
      <c r="G1170" s="105" t="s">
        <v>865</v>
      </c>
      <c r="H1170" s="105" t="s">
        <v>25</v>
      </c>
      <c r="I1170" s="105" t="s">
        <v>856</v>
      </c>
    </row>
    <row r="1171" spans="1:9" s="108" customFormat="1">
      <c r="A1171" s="105" t="s">
        <v>1764</v>
      </c>
      <c r="B1171" s="105" t="s">
        <v>807</v>
      </c>
      <c r="C1171" s="120">
        <v>6.4299999999999996E-2</v>
      </c>
      <c r="D1171" s="107">
        <v>0.6</v>
      </c>
      <c r="E1171" s="105" t="s">
        <v>25</v>
      </c>
      <c r="F1171" s="105" t="s">
        <v>1201</v>
      </c>
      <c r="G1171" s="105"/>
      <c r="H1171" s="105" t="s">
        <v>25</v>
      </c>
      <c r="I1171" s="105" t="s">
        <v>856</v>
      </c>
    </row>
    <row r="1172" spans="1:9" s="108" customFormat="1">
      <c r="A1172" s="105" t="s">
        <v>1765</v>
      </c>
      <c r="B1172" s="105" t="s">
        <v>807</v>
      </c>
      <c r="C1172" s="120">
        <v>0.38400000000000001</v>
      </c>
      <c r="D1172" s="107">
        <v>0.2</v>
      </c>
      <c r="E1172" s="105" t="s">
        <v>25</v>
      </c>
      <c r="F1172" s="105" t="s">
        <v>1201</v>
      </c>
      <c r="G1172" s="105"/>
      <c r="H1172" s="105" t="s">
        <v>25</v>
      </c>
      <c r="I1172" s="105" t="s">
        <v>856</v>
      </c>
    </row>
    <row r="1173" spans="1:9" s="108" customFormat="1">
      <c r="A1173" s="105" t="s">
        <v>1766</v>
      </c>
      <c r="B1173" s="105" t="s">
        <v>807</v>
      </c>
      <c r="C1173" s="120">
        <v>0.31</v>
      </c>
      <c r="D1173" s="107">
        <v>0.2</v>
      </c>
      <c r="E1173" s="105" t="s">
        <v>25</v>
      </c>
      <c r="F1173" s="105" t="s">
        <v>1201</v>
      </c>
      <c r="G1173" s="105"/>
      <c r="H1173" s="105" t="s">
        <v>25</v>
      </c>
      <c r="I1173" s="105" t="s">
        <v>856</v>
      </c>
    </row>
    <row r="1174" spans="1:9" s="108" customFormat="1">
      <c r="A1174" s="105" t="s">
        <v>1767</v>
      </c>
      <c r="B1174" s="105" t="s">
        <v>807</v>
      </c>
      <c r="C1174" s="120">
        <v>0.22900000000000001</v>
      </c>
      <c r="D1174" s="107">
        <v>0.5</v>
      </c>
      <c r="E1174" s="105" t="s">
        <v>25</v>
      </c>
      <c r="F1174" s="105" t="s">
        <v>1201</v>
      </c>
      <c r="G1174" s="105"/>
      <c r="H1174" s="105" t="s">
        <v>25</v>
      </c>
      <c r="I1174" s="105" t="s">
        <v>856</v>
      </c>
    </row>
    <row r="1175" spans="1:9" s="108" customFormat="1" ht="15.6">
      <c r="A1175" s="105" t="s">
        <v>1768</v>
      </c>
      <c r="B1175" s="105" t="s">
        <v>1769</v>
      </c>
      <c r="C1175" s="120">
        <v>0.20899999999999999</v>
      </c>
      <c r="D1175" s="109">
        <v>0.6</v>
      </c>
      <c r="E1175" s="105" t="s">
        <v>25</v>
      </c>
      <c r="F1175" s="105" t="s">
        <v>1201</v>
      </c>
      <c r="G1175" s="105"/>
      <c r="H1175" s="105" t="s">
        <v>25</v>
      </c>
      <c r="I1175" s="105" t="s">
        <v>856</v>
      </c>
    </row>
    <row r="1176" spans="1:9" s="108" customFormat="1" ht="15.6">
      <c r="A1176" s="105" t="s">
        <v>866</v>
      </c>
      <c r="B1176" s="105" t="s">
        <v>48</v>
      </c>
      <c r="C1176" s="120">
        <f>62.1*C1284+0*C1302</f>
        <v>181.953</v>
      </c>
      <c r="D1176" s="109">
        <v>0.3</v>
      </c>
      <c r="E1176" s="105" t="s">
        <v>25</v>
      </c>
      <c r="F1176" s="105" t="s">
        <v>671</v>
      </c>
      <c r="G1176" s="105" t="s">
        <v>867</v>
      </c>
      <c r="H1176" s="105" t="s">
        <v>25</v>
      </c>
      <c r="I1176" s="105" t="s">
        <v>856</v>
      </c>
    </row>
    <row r="1177" spans="1:9" s="108" customFormat="1" ht="15.6">
      <c r="A1177" s="105" t="s">
        <v>868</v>
      </c>
      <c r="B1177" s="105" t="s">
        <v>48</v>
      </c>
      <c r="C1177" s="120">
        <f>20.7*C1284+0*C1302</f>
        <v>60.651000000000003</v>
      </c>
      <c r="D1177" s="109">
        <v>0.3</v>
      </c>
      <c r="E1177" s="105" t="s">
        <v>25</v>
      </c>
      <c r="F1177" s="105" t="s">
        <v>671</v>
      </c>
      <c r="G1177" s="105" t="s">
        <v>869</v>
      </c>
      <c r="H1177" s="105" t="s">
        <v>25</v>
      </c>
      <c r="I1177" s="105" t="s">
        <v>856</v>
      </c>
    </row>
    <row r="1178" spans="1:9" ht="30.6">
      <c r="A1178" s="61" t="s">
        <v>870</v>
      </c>
      <c r="B1178" s="17" t="s">
        <v>48</v>
      </c>
      <c r="C1178" s="68">
        <v>18.419999999999998</v>
      </c>
      <c r="D1178" s="59">
        <v>0.3</v>
      </c>
      <c r="E1178" s="17" t="s">
        <v>25</v>
      </c>
      <c r="F1178" s="17" t="s">
        <v>671</v>
      </c>
      <c r="G1178" s="17" t="s">
        <v>871</v>
      </c>
      <c r="H1178" s="17" t="s">
        <v>25</v>
      </c>
      <c r="I1178" s="17" t="s">
        <v>856</v>
      </c>
    </row>
    <row r="1179" spans="1:9">
      <c r="A1179" s="17"/>
      <c r="B1179" s="17"/>
      <c r="C1179" s="17"/>
      <c r="D1179" s="57"/>
      <c r="E1179" s="17"/>
      <c r="F1179" s="17"/>
      <c r="G1179" s="17"/>
      <c r="H1179" s="17"/>
      <c r="I1179" s="17"/>
    </row>
    <row r="1180" spans="1:9">
      <c r="A1180" s="17"/>
      <c r="B1180" s="17"/>
      <c r="C1180" s="17"/>
      <c r="D1180" s="57"/>
      <c r="E1180" s="17"/>
      <c r="F1180" s="17"/>
      <c r="G1180" s="17"/>
      <c r="H1180" s="17"/>
      <c r="I1180" s="17"/>
    </row>
    <row r="1181" spans="1:9">
      <c r="A1181" s="17"/>
      <c r="B1181" s="17"/>
      <c r="C1181" s="17"/>
      <c r="D1181" s="57"/>
      <c r="E1181" s="17"/>
      <c r="F1181" s="17"/>
      <c r="G1181" s="17"/>
      <c r="H1181" s="17"/>
      <c r="I1181" s="17"/>
    </row>
    <row r="1182" spans="1:9">
      <c r="A1182" s="17"/>
      <c r="B1182" s="17"/>
      <c r="C1182" s="17"/>
      <c r="D1182" s="57"/>
      <c r="E1182" s="17"/>
      <c r="F1182" s="17"/>
      <c r="G1182" s="17"/>
      <c r="H1182" s="17"/>
      <c r="I1182" s="17"/>
    </row>
    <row r="1183" spans="1:9" ht="24.9" customHeight="1">
      <c r="A1183" s="51" t="s">
        <v>23</v>
      </c>
      <c r="B1183" s="55"/>
      <c r="C1183" s="55"/>
      <c r="D1183" s="56"/>
      <c r="E1183" s="55"/>
      <c r="F1183" s="55"/>
      <c r="G1183" s="55"/>
      <c r="H1183" s="55"/>
      <c r="I1183" s="55"/>
    </row>
    <row r="1184" spans="1:9">
      <c r="A1184" s="17" t="s">
        <v>50</v>
      </c>
      <c r="B1184" s="17"/>
      <c r="C1184" s="17"/>
      <c r="D1184" s="57"/>
      <c r="E1184" s="17"/>
      <c r="F1184" s="17"/>
      <c r="G1184" s="17"/>
      <c r="H1184" s="17"/>
      <c r="I1184" s="17"/>
    </row>
    <row r="1185" spans="1:9" s="108" customFormat="1">
      <c r="A1185" s="105" t="s">
        <v>1770</v>
      </c>
      <c r="B1185" s="105" t="s">
        <v>55</v>
      </c>
      <c r="C1185" s="106">
        <v>3350</v>
      </c>
      <c r="D1185" s="107">
        <v>0.2</v>
      </c>
      <c r="E1185" s="105" t="s">
        <v>23</v>
      </c>
      <c r="F1185" s="106" t="s">
        <v>1201</v>
      </c>
      <c r="G1185" s="105"/>
      <c r="H1185" s="105" t="s">
        <v>872</v>
      </c>
      <c r="I1185" s="105" t="s">
        <v>873</v>
      </c>
    </row>
    <row r="1186" spans="1:9" s="108" customFormat="1">
      <c r="A1186" s="105" t="s">
        <v>874</v>
      </c>
      <c r="B1186" s="105" t="s">
        <v>875</v>
      </c>
      <c r="C1186" s="106">
        <v>0.377</v>
      </c>
      <c r="D1186" s="107">
        <v>0.2</v>
      </c>
      <c r="E1186" s="105" t="s">
        <v>23</v>
      </c>
      <c r="F1186" s="106" t="s">
        <v>1201</v>
      </c>
      <c r="G1186" s="105"/>
      <c r="H1186" s="105" t="s">
        <v>872</v>
      </c>
      <c r="I1186" s="105" t="s">
        <v>873</v>
      </c>
    </row>
    <row r="1187" spans="1:9">
      <c r="A1187" s="17" t="s">
        <v>876</v>
      </c>
      <c r="B1187" s="17" t="s">
        <v>55</v>
      </c>
      <c r="C1187" s="58">
        <v>3219.1953488372096</v>
      </c>
      <c r="D1187" s="57">
        <v>0.05</v>
      </c>
      <c r="E1187" s="17" t="s">
        <v>23</v>
      </c>
      <c r="F1187" s="17" t="s">
        <v>167</v>
      </c>
      <c r="G1187" s="17"/>
      <c r="H1187" s="17" t="s">
        <v>872</v>
      </c>
      <c r="I1187" s="17" t="s">
        <v>873</v>
      </c>
    </row>
    <row r="1188" spans="1:9">
      <c r="A1188" s="17" t="s">
        <v>877</v>
      </c>
      <c r="B1188" s="17" t="s">
        <v>875</v>
      </c>
      <c r="C1188" s="58">
        <v>0.28630435040000002</v>
      </c>
      <c r="D1188" s="57">
        <v>0.05</v>
      </c>
      <c r="E1188" s="17" t="s">
        <v>23</v>
      </c>
      <c r="F1188" s="17" t="s">
        <v>167</v>
      </c>
      <c r="G1188" s="17"/>
      <c r="H1188" s="17" t="s">
        <v>872</v>
      </c>
      <c r="I1188" s="17" t="s">
        <v>873</v>
      </c>
    </row>
    <row r="1189" spans="1:9" s="108" customFormat="1">
      <c r="A1189" s="105" t="s">
        <v>1771</v>
      </c>
      <c r="B1189" s="105" t="s">
        <v>55</v>
      </c>
      <c r="C1189" s="106">
        <v>8058</v>
      </c>
      <c r="D1189" s="107">
        <v>0.2</v>
      </c>
      <c r="E1189" s="105" t="s">
        <v>23</v>
      </c>
      <c r="F1189" s="106" t="s">
        <v>1201</v>
      </c>
      <c r="G1189" s="105"/>
      <c r="H1189" s="105" t="s">
        <v>872</v>
      </c>
      <c r="I1189" s="105" t="s">
        <v>873</v>
      </c>
    </row>
    <row r="1190" spans="1:9" s="108" customFormat="1">
      <c r="A1190" s="105" t="s">
        <v>1772</v>
      </c>
      <c r="B1190" s="105" t="s">
        <v>875</v>
      </c>
      <c r="C1190" s="106">
        <v>0.78</v>
      </c>
      <c r="D1190" s="107">
        <v>0.2</v>
      </c>
      <c r="E1190" s="105" t="s">
        <v>23</v>
      </c>
      <c r="F1190" s="106" t="s">
        <v>1201</v>
      </c>
      <c r="G1190" s="105"/>
      <c r="H1190" s="105" t="s">
        <v>872</v>
      </c>
      <c r="I1190" s="105" t="s">
        <v>873</v>
      </c>
    </row>
    <row r="1191" spans="1:9" s="108" customFormat="1">
      <c r="A1191" s="105" t="s">
        <v>1773</v>
      </c>
      <c r="B1191" s="105" t="s">
        <v>52</v>
      </c>
      <c r="C1191" s="106">
        <v>7.17</v>
      </c>
      <c r="D1191" s="107">
        <v>0.2</v>
      </c>
      <c r="E1191" s="105" t="s">
        <v>23</v>
      </c>
      <c r="F1191" s="106" t="s">
        <v>1201</v>
      </c>
      <c r="G1191" s="105"/>
      <c r="H1191" s="105" t="s">
        <v>872</v>
      </c>
      <c r="I1191" s="105" t="s">
        <v>873</v>
      </c>
    </row>
    <row r="1192" spans="1:9" s="108" customFormat="1">
      <c r="A1192" s="105" t="s">
        <v>1774</v>
      </c>
      <c r="B1192" s="105" t="s">
        <v>55</v>
      </c>
      <c r="C1192" s="106">
        <v>486</v>
      </c>
      <c r="D1192" s="107">
        <v>0.2</v>
      </c>
      <c r="E1192" s="105" t="s">
        <v>23</v>
      </c>
      <c r="F1192" s="106" t="s">
        <v>1201</v>
      </c>
      <c r="G1192" s="105"/>
      <c r="H1192" s="105" t="s">
        <v>872</v>
      </c>
      <c r="I1192" s="105" t="s">
        <v>873</v>
      </c>
    </row>
    <row r="1193" spans="1:9" s="108" customFormat="1">
      <c r="A1193" s="105" t="s">
        <v>1775</v>
      </c>
      <c r="B1193" s="105" t="s">
        <v>875</v>
      </c>
      <c r="C1193" s="106">
        <v>4.7399999999999998E-2</v>
      </c>
      <c r="D1193" s="107">
        <v>0.2</v>
      </c>
      <c r="E1193" s="105" t="s">
        <v>23</v>
      </c>
      <c r="F1193" s="106" t="s">
        <v>1201</v>
      </c>
      <c r="G1193" s="105"/>
      <c r="H1193" s="105" t="s">
        <v>872</v>
      </c>
      <c r="I1193" s="105" t="s">
        <v>873</v>
      </c>
    </row>
    <row r="1194" spans="1:9" s="108" customFormat="1">
      <c r="A1194" s="105" t="s">
        <v>1776</v>
      </c>
      <c r="B1194" s="105" t="s">
        <v>52</v>
      </c>
      <c r="C1194" s="106">
        <v>0.434</v>
      </c>
      <c r="D1194" s="107">
        <v>0.2</v>
      </c>
      <c r="E1194" s="105" t="s">
        <v>23</v>
      </c>
      <c r="F1194" s="106" t="s">
        <v>1201</v>
      </c>
      <c r="G1194" s="105"/>
      <c r="H1194" s="105" t="s">
        <v>872</v>
      </c>
      <c r="I1194" s="105" t="s">
        <v>873</v>
      </c>
    </row>
    <row r="1195" spans="1:9" s="108" customFormat="1">
      <c r="A1195" s="105" t="s">
        <v>1777</v>
      </c>
      <c r="B1195" s="105" t="s">
        <v>55</v>
      </c>
      <c r="C1195" s="106">
        <v>1135</v>
      </c>
      <c r="D1195" s="107">
        <v>0.2</v>
      </c>
      <c r="E1195" s="105" t="s">
        <v>23</v>
      </c>
      <c r="F1195" s="106" t="s">
        <v>1201</v>
      </c>
      <c r="G1195" s="105"/>
      <c r="H1195" s="105" t="s">
        <v>872</v>
      </c>
      <c r="I1195" s="105" t="s">
        <v>873</v>
      </c>
    </row>
    <row r="1196" spans="1:9" s="108" customFormat="1">
      <c r="A1196" s="105" t="s">
        <v>1778</v>
      </c>
      <c r="B1196" s="105" t="s">
        <v>875</v>
      </c>
      <c r="C1196" s="106">
        <v>0.11</v>
      </c>
      <c r="D1196" s="107">
        <v>0.2</v>
      </c>
      <c r="E1196" s="105" t="s">
        <v>23</v>
      </c>
      <c r="F1196" s="106" t="s">
        <v>1201</v>
      </c>
      <c r="G1196" s="105"/>
      <c r="H1196" s="105" t="s">
        <v>872</v>
      </c>
      <c r="I1196" s="105" t="s">
        <v>873</v>
      </c>
    </row>
    <row r="1197" spans="1:9" s="108" customFormat="1">
      <c r="A1197" s="105" t="s">
        <v>1779</v>
      </c>
      <c r="B1197" s="105" t="s">
        <v>52</v>
      </c>
      <c r="C1197" s="106">
        <v>1.01</v>
      </c>
      <c r="D1197" s="107">
        <v>0.2</v>
      </c>
      <c r="E1197" s="105" t="s">
        <v>23</v>
      </c>
      <c r="F1197" s="106" t="s">
        <v>1201</v>
      </c>
      <c r="G1197" s="105"/>
      <c r="H1197" s="105" t="s">
        <v>872</v>
      </c>
      <c r="I1197" s="105" t="s">
        <v>873</v>
      </c>
    </row>
    <row r="1198" spans="1:9" s="108" customFormat="1">
      <c r="A1198" s="105" t="s">
        <v>1780</v>
      </c>
      <c r="B1198" s="105" t="s">
        <v>55</v>
      </c>
      <c r="C1198" s="106">
        <v>6072</v>
      </c>
      <c r="D1198" s="107">
        <v>0.2</v>
      </c>
      <c r="E1198" s="105" t="s">
        <v>23</v>
      </c>
      <c r="F1198" s="106" t="s">
        <v>1201</v>
      </c>
      <c r="G1198" s="105"/>
      <c r="H1198" s="105" t="s">
        <v>872</v>
      </c>
      <c r="I1198" s="105" t="s">
        <v>873</v>
      </c>
    </row>
    <row r="1199" spans="1:9" s="108" customFormat="1">
      <c r="A1199" s="105" t="s">
        <v>1781</v>
      </c>
      <c r="B1199" s="105" t="s">
        <v>875</v>
      </c>
      <c r="C1199" s="106">
        <v>0.81499999999999995</v>
      </c>
      <c r="D1199" s="107">
        <v>0.2</v>
      </c>
      <c r="E1199" s="105" t="s">
        <v>23</v>
      </c>
      <c r="F1199" s="106" t="s">
        <v>1201</v>
      </c>
      <c r="G1199" s="105"/>
      <c r="H1199" s="105" t="s">
        <v>872</v>
      </c>
      <c r="I1199" s="105" t="s">
        <v>873</v>
      </c>
    </row>
    <row r="1200" spans="1:9" s="108" customFormat="1">
      <c r="A1200" s="105" t="s">
        <v>1782</v>
      </c>
      <c r="B1200" s="105" t="s">
        <v>52</v>
      </c>
      <c r="C1200" s="106">
        <v>4.79</v>
      </c>
      <c r="D1200" s="107">
        <v>0.2</v>
      </c>
      <c r="E1200" s="105" t="s">
        <v>23</v>
      </c>
      <c r="F1200" s="106" t="s">
        <v>1201</v>
      </c>
      <c r="G1200" s="105"/>
      <c r="H1200" s="105" t="s">
        <v>872</v>
      </c>
      <c r="I1200" s="105" t="s">
        <v>873</v>
      </c>
    </row>
    <row r="1201" spans="1:9" s="108" customFormat="1">
      <c r="A1201" s="105" t="s">
        <v>1783</v>
      </c>
      <c r="B1201" s="105" t="s">
        <v>55</v>
      </c>
      <c r="C1201" s="106">
        <v>902</v>
      </c>
      <c r="D1201" s="107">
        <v>0.2</v>
      </c>
      <c r="E1201" s="105" t="s">
        <v>23</v>
      </c>
      <c r="F1201" s="106" t="s">
        <v>1201</v>
      </c>
      <c r="G1201" s="105"/>
      <c r="H1201" s="105" t="s">
        <v>872</v>
      </c>
      <c r="I1201" s="105" t="s">
        <v>873</v>
      </c>
    </row>
    <row r="1202" spans="1:9" s="108" customFormat="1">
      <c r="A1202" s="105" t="s">
        <v>1784</v>
      </c>
      <c r="B1202" s="105" t="s">
        <v>875</v>
      </c>
      <c r="C1202" s="106">
        <v>0.121</v>
      </c>
      <c r="D1202" s="107">
        <v>0.2</v>
      </c>
      <c r="E1202" s="105" t="s">
        <v>23</v>
      </c>
      <c r="F1202" s="106" t="s">
        <v>1201</v>
      </c>
      <c r="G1202" s="105"/>
      <c r="H1202" s="105" t="s">
        <v>872</v>
      </c>
      <c r="I1202" s="105" t="s">
        <v>873</v>
      </c>
    </row>
    <row r="1203" spans="1:9" s="108" customFormat="1">
      <c r="A1203" s="105" t="s">
        <v>1785</v>
      </c>
      <c r="B1203" s="105" t="s">
        <v>52</v>
      </c>
      <c r="C1203" s="106">
        <v>0.71299999999999997</v>
      </c>
      <c r="D1203" s="107">
        <v>0.2</v>
      </c>
      <c r="E1203" s="105" t="s">
        <v>23</v>
      </c>
      <c r="F1203" s="106" t="s">
        <v>1201</v>
      </c>
      <c r="G1203" s="105"/>
      <c r="H1203" s="105" t="s">
        <v>872</v>
      </c>
      <c r="I1203" s="105" t="s">
        <v>873</v>
      </c>
    </row>
    <row r="1204" spans="1:9" s="108" customFormat="1">
      <c r="A1204" s="105" t="s">
        <v>1786</v>
      </c>
      <c r="B1204" s="105" t="s">
        <v>55</v>
      </c>
      <c r="C1204" s="106">
        <v>1073</v>
      </c>
      <c r="D1204" s="107">
        <v>0.2</v>
      </c>
      <c r="E1204" s="105" t="s">
        <v>23</v>
      </c>
      <c r="F1204" s="106" t="s">
        <v>1201</v>
      </c>
      <c r="G1204" s="105"/>
      <c r="H1204" s="105" t="s">
        <v>872</v>
      </c>
      <c r="I1204" s="105" t="s">
        <v>873</v>
      </c>
    </row>
    <row r="1205" spans="1:9" s="108" customFormat="1">
      <c r="A1205" s="105" t="s">
        <v>1787</v>
      </c>
      <c r="B1205" s="105" t="s">
        <v>875</v>
      </c>
      <c r="C1205" s="106">
        <v>0.14399999999999999</v>
      </c>
      <c r="D1205" s="107">
        <v>0.2</v>
      </c>
      <c r="E1205" s="105" t="s">
        <v>23</v>
      </c>
      <c r="F1205" s="106" t="s">
        <v>1201</v>
      </c>
      <c r="G1205" s="105"/>
      <c r="H1205" s="105" t="s">
        <v>872</v>
      </c>
      <c r="I1205" s="105" t="s">
        <v>873</v>
      </c>
    </row>
    <row r="1206" spans="1:9" s="108" customFormat="1">
      <c r="A1206" s="105" t="s">
        <v>1788</v>
      </c>
      <c r="B1206" s="105" t="s">
        <v>52</v>
      </c>
      <c r="C1206" s="106">
        <v>0.84799999999999998</v>
      </c>
      <c r="D1206" s="107">
        <v>0.2</v>
      </c>
      <c r="E1206" s="105" t="s">
        <v>23</v>
      </c>
      <c r="F1206" s="106" t="s">
        <v>1201</v>
      </c>
      <c r="G1206" s="105"/>
      <c r="H1206" s="105" t="s">
        <v>872</v>
      </c>
      <c r="I1206" s="105" t="s">
        <v>873</v>
      </c>
    </row>
    <row r="1207" spans="1:9" s="108" customFormat="1">
      <c r="A1207" s="105" t="s">
        <v>1789</v>
      </c>
      <c r="B1207" s="105" t="s">
        <v>875</v>
      </c>
      <c r="C1207" s="106">
        <v>0.13400000000000001</v>
      </c>
      <c r="D1207" s="107">
        <v>0.2</v>
      </c>
      <c r="E1207" s="105" t="s">
        <v>23</v>
      </c>
      <c r="F1207" s="106" t="s">
        <v>1201</v>
      </c>
      <c r="G1207" s="105"/>
      <c r="H1207" s="105" t="s">
        <v>872</v>
      </c>
      <c r="I1207" s="105" t="s">
        <v>873</v>
      </c>
    </row>
    <row r="1208" spans="1:9" s="108" customFormat="1">
      <c r="A1208" s="105" t="s">
        <v>1790</v>
      </c>
      <c r="B1208" s="105" t="s">
        <v>52</v>
      </c>
      <c r="C1208" s="106">
        <v>1.23</v>
      </c>
      <c r="D1208" s="107">
        <v>0.2</v>
      </c>
      <c r="E1208" s="105" t="s">
        <v>23</v>
      </c>
      <c r="F1208" s="106" t="s">
        <v>1201</v>
      </c>
      <c r="G1208" s="105"/>
      <c r="H1208" s="105" t="s">
        <v>872</v>
      </c>
      <c r="I1208" s="105" t="s">
        <v>873</v>
      </c>
    </row>
    <row r="1209" spans="1:9" s="108" customFormat="1">
      <c r="A1209" s="105" t="s">
        <v>878</v>
      </c>
      <c r="B1209" s="105" t="s">
        <v>55</v>
      </c>
      <c r="C1209" s="106">
        <f>C1210*40.2</f>
        <v>3613.9800000000005</v>
      </c>
      <c r="D1209" s="107">
        <v>0.05</v>
      </c>
      <c r="E1209" s="105" t="s">
        <v>23</v>
      </c>
      <c r="F1209" s="105" t="s">
        <v>167</v>
      </c>
      <c r="G1209" s="105"/>
      <c r="H1209" s="105" t="s">
        <v>872</v>
      </c>
      <c r="I1209" s="105" t="s">
        <v>873</v>
      </c>
    </row>
    <row r="1210" spans="1:9" s="108" customFormat="1">
      <c r="A1210" s="105" t="s">
        <v>1791</v>
      </c>
      <c r="B1210" s="105" t="s">
        <v>1792</v>
      </c>
      <c r="C1210" s="106">
        <v>89.9</v>
      </c>
      <c r="D1210" s="107">
        <v>0.05</v>
      </c>
      <c r="E1210" s="105" t="s">
        <v>23</v>
      </c>
      <c r="F1210" s="106" t="s">
        <v>1201</v>
      </c>
      <c r="G1210" s="105"/>
      <c r="H1210" s="105" t="s">
        <v>872</v>
      </c>
      <c r="I1210" s="105" t="s">
        <v>873</v>
      </c>
    </row>
    <row r="1211" spans="1:9" s="108" customFormat="1">
      <c r="A1211" s="105" t="s">
        <v>879</v>
      </c>
      <c r="B1211" s="105" t="s">
        <v>875</v>
      </c>
      <c r="C1211" s="106">
        <v>0.32400000000000001</v>
      </c>
      <c r="D1211" s="107">
        <v>0.05</v>
      </c>
      <c r="E1211" s="105" t="s">
        <v>23</v>
      </c>
      <c r="F1211" s="106" t="s">
        <v>1201</v>
      </c>
      <c r="G1211" s="105"/>
      <c r="H1211" s="105" t="s">
        <v>872</v>
      </c>
      <c r="I1211" s="105" t="s">
        <v>873</v>
      </c>
    </row>
    <row r="1212" spans="1:9" s="108" customFormat="1">
      <c r="A1212" s="105" t="s">
        <v>880</v>
      </c>
      <c r="B1212" s="105" t="s">
        <v>55</v>
      </c>
      <c r="C1212" s="106">
        <v>1840</v>
      </c>
      <c r="D1212" s="107">
        <v>0.2</v>
      </c>
      <c r="E1212" s="105" t="s">
        <v>23</v>
      </c>
      <c r="F1212" s="106" t="s">
        <v>1201</v>
      </c>
      <c r="G1212" s="105"/>
      <c r="H1212" s="105" t="s">
        <v>872</v>
      </c>
      <c r="I1212" s="105" t="s">
        <v>873</v>
      </c>
    </row>
    <row r="1213" spans="1:9" s="108" customFormat="1">
      <c r="A1213" s="105" t="s">
        <v>881</v>
      </c>
      <c r="B1213" s="105" t="s">
        <v>875</v>
      </c>
      <c r="C1213" s="106">
        <v>0.38900000000000001</v>
      </c>
      <c r="D1213" s="107">
        <v>0.2</v>
      </c>
      <c r="E1213" s="105" t="s">
        <v>23</v>
      </c>
      <c r="F1213" s="106" t="s">
        <v>1201</v>
      </c>
      <c r="G1213" s="105"/>
      <c r="H1213" s="105" t="s">
        <v>872</v>
      </c>
      <c r="I1213" s="105" t="s">
        <v>873</v>
      </c>
    </row>
    <row r="1214" spans="1:9" s="108" customFormat="1" ht="15.6">
      <c r="A1214" s="105" t="s">
        <v>882</v>
      </c>
      <c r="B1214" s="105" t="s">
        <v>74</v>
      </c>
      <c r="C1214" s="106">
        <v>3.44</v>
      </c>
      <c r="D1214" s="109">
        <v>0.05</v>
      </c>
      <c r="E1214" s="105" t="s">
        <v>23</v>
      </c>
      <c r="F1214" s="106" t="s">
        <v>1201</v>
      </c>
      <c r="G1214" s="105"/>
      <c r="H1214" s="105" t="s">
        <v>872</v>
      </c>
      <c r="I1214" s="105" t="s">
        <v>873</v>
      </c>
    </row>
    <row r="1215" spans="1:9" s="108" customFormat="1" ht="15.6">
      <c r="A1215" s="105" t="s">
        <v>1793</v>
      </c>
      <c r="B1215" s="105" t="s">
        <v>52</v>
      </c>
      <c r="C1215" s="106">
        <v>2</v>
      </c>
      <c r="D1215" s="109">
        <v>0.05</v>
      </c>
      <c r="E1215" s="105" t="s">
        <v>23</v>
      </c>
      <c r="F1215" s="106" t="s">
        <v>1201</v>
      </c>
      <c r="G1215" s="105"/>
      <c r="H1215" s="105" t="s">
        <v>872</v>
      </c>
      <c r="I1215" s="105" t="s">
        <v>873</v>
      </c>
    </row>
    <row r="1216" spans="1:9" s="108" customFormat="1" ht="15.6">
      <c r="A1216" s="105" t="s">
        <v>1794</v>
      </c>
      <c r="B1216" s="105" t="s">
        <v>875</v>
      </c>
      <c r="C1216" s="106">
        <v>0.27300000000000002</v>
      </c>
      <c r="D1216" s="109">
        <v>0.05</v>
      </c>
      <c r="E1216" s="105" t="s">
        <v>23</v>
      </c>
      <c r="F1216" s="106" t="s">
        <v>1201</v>
      </c>
      <c r="G1216" s="105"/>
      <c r="H1216" s="105" t="s">
        <v>872</v>
      </c>
      <c r="I1216" s="105" t="s">
        <v>873</v>
      </c>
    </row>
    <row r="1217" spans="1:9" s="108" customFormat="1" ht="15.6">
      <c r="A1217" s="115" t="s">
        <v>1795</v>
      </c>
      <c r="B1217" s="105" t="s">
        <v>52</v>
      </c>
      <c r="C1217" s="106">
        <v>3.01</v>
      </c>
      <c r="D1217" s="109">
        <v>0.05</v>
      </c>
      <c r="E1217" s="105" t="s">
        <v>23</v>
      </c>
      <c r="F1217" s="106" t="s">
        <v>1201</v>
      </c>
      <c r="G1217" s="105"/>
      <c r="H1217" s="105" t="s">
        <v>872</v>
      </c>
      <c r="I1217" s="105" t="s">
        <v>873</v>
      </c>
    </row>
    <row r="1218" spans="1:9" s="108" customFormat="1">
      <c r="A1218" s="105" t="s">
        <v>883</v>
      </c>
      <c r="B1218" s="105" t="s">
        <v>55</v>
      </c>
      <c r="C1218" s="106">
        <v>3820</v>
      </c>
      <c r="D1218" s="107">
        <v>0.05</v>
      </c>
      <c r="E1218" s="105" t="s">
        <v>23</v>
      </c>
      <c r="F1218" s="106" t="s">
        <v>1201</v>
      </c>
      <c r="G1218" s="105"/>
      <c r="H1218" s="105" t="s">
        <v>872</v>
      </c>
      <c r="I1218" s="105" t="s">
        <v>873</v>
      </c>
    </row>
    <row r="1219" spans="1:9" s="108" customFormat="1">
      <c r="A1219" s="105" t="s">
        <v>884</v>
      </c>
      <c r="B1219" s="105" t="s">
        <v>875</v>
      </c>
      <c r="C1219" s="106">
        <v>0.313</v>
      </c>
      <c r="D1219" s="107">
        <v>0.05</v>
      </c>
      <c r="E1219" s="105" t="s">
        <v>23</v>
      </c>
      <c r="F1219" s="106" t="s">
        <v>1201</v>
      </c>
      <c r="G1219" s="105"/>
      <c r="H1219" s="105" t="s">
        <v>872</v>
      </c>
      <c r="I1219" s="105" t="s">
        <v>873</v>
      </c>
    </row>
    <row r="1220" spans="1:9" s="108" customFormat="1">
      <c r="A1220" s="105" t="s">
        <v>885</v>
      </c>
      <c r="B1220" s="105" t="s">
        <v>52</v>
      </c>
      <c r="C1220" s="106">
        <v>3.01</v>
      </c>
      <c r="D1220" s="107">
        <v>0.05</v>
      </c>
      <c r="E1220" s="105" t="s">
        <v>23</v>
      </c>
      <c r="F1220" s="106" t="s">
        <v>1201</v>
      </c>
      <c r="G1220" s="105"/>
      <c r="H1220" s="105" t="s">
        <v>872</v>
      </c>
      <c r="I1220" s="105" t="s">
        <v>873</v>
      </c>
    </row>
    <row r="1221" spans="1:9" s="108" customFormat="1">
      <c r="A1221" s="105" t="s">
        <v>886</v>
      </c>
      <c r="B1221" s="105" t="s">
        <v>55</v>
      </c>
      <c r="C1221" s="106">
        <v>2720</v>
      </c>
      <c r="D1221" s="107">
        <v>0.2</v>
      </c>
      <c r="E1221" s="105" t="s">
        <v>23</v>
      </c>
      <c r="F1221" s="106" t="s">
        <v>1201</v>
      </c>
      <c r="G1221" s="105"/>
      <c r="H1221" s="105" t="s">
        <v>872</v>
      </c>
      <c r="I1221" s="105" t="s">
        <v>873</v>
      </c>
    </row>
    <row r="1222" spans="1:9" s="108" customFormat="1">
      <c r="A1222" s="105" t="s">
        <v>887</v>
      </c>
      <c r="B1222" s="105" t="s">
        <v>875</v>
      </c>
      <c r="C1222" s="106">
        <v>0.377</v>
      </c>
      <c r="D1222" s="107">
        <v>0.2</v>
      </c>
      <c r="E1222" s="105" t="s">
        <v>23</v>
      </c>
      <c r="F1222" s="105" t="s">
        <v>1201</v>
      </c>
      <c r="G1222" s="105"/>
      <c r="H1222" s="105" t="s">
        <v>872</v>
      </c>
      <c r="I1222" s="105" t="s">
        <v>873</v>
      </c>
    </row>
    <row r="1223" spans="1:9" s="108" customFormat="1">
      <c r="A1223" s="105" t="s">
        <v>888</v>
      </c>
      <c r="B1223" s="105" t="s">
        <v>55</v>
      </c>
      <c r="C1223" s="106">
        <v>2110</v>
      </c>
      <c r="D1223" s="107">
        <v>0.2</v>
      </c>
      <c r="E1223" s="105" t="s">
        <v>23</v>
      </c>
      <c r="F1223" s="105" t="s">
        <v>1201</v>
      </c>
      <c r="G1223" s="105"/>
      <c r="H1223" s="105" t="s">
        <v>872</v>
      </c>
      <c r="I1223" s="105" t="s">
        <v>873</v>
      </c>
    </row>
    <row r="1224" spans="1:9" s="108" customFormat="1">
      <c r="A1224" s="105" t="s">
        <v>889</v>
      </c>
      <c r="B1224" s="105" t="s">
        <v>875</v>
      </c>
      <c r="C1224" s="106">
        <v>0.38100000000000001</v>
      </c>
      <c r="D1224" s="107">
        <v>0.2</v>
      </c>
      <c r="E1224" s="105" t="s">
        <v>23</v>
      </c>
      <c r="F1224" s="105" t="s">
        <v>1201</v>
      </c>
      <c r="G1224" s="105"/>
      <c r="H1224" s="105" t="s">
        <v>872</v>
      </c>
      <c r="I1224" s="105" t="s">
        <v>873</v>
      </c>
    </row>
    <row r="1225" spans="1:9" s="108" customFormat="1">
      <c r="A1225" s="105" t="s">
        <v>890</v>
      </c>
      <c r="B1225" s="105" t="s">
        <v>55</v>
      </c>
      <c r="C1225" s="106">
        <v>3270</v>
      </c>
      <c r="D1225" s="107">
        <v>0.2</v>
      </c>
      <c r="E1225" s="105" t="s">
        <v>23</v>
      </c>
      <c r="F1225" s="105" t="s">
        <v>1201</v>
      </c>
      <c r="G1225" s="105"/>
      <c r="H1225" s="105" t="s">
        <v>872</v>
      </c>
      <c r="I1225" s="105" t="s">
        <v>873</v>
      </c>
    </row>
    <row r="1226" spans="1:9" s="108" customFormat="1">
      <c r="A1226" s="105" t="s">
        <v>891</v>
      </c>
      <c r="B1226" s="105" t="s">
        <v>875</v>
      </c>
      <c r="C1226" s="106">
        <v>0.42099999999999999</v>
      </c>
      <c r="D1226" s="107">
        <v>0.2</v>
      </c>
      <c r="E1226" s="105" t="s">
        <v>23</v>
      </c>
      <c r="F1226" s="105" t="s">
        <v>1201</v>
      </c>
      <c r="G1226" s="105"/>
      <c r="H1226" s="105" t="s">
        <v>872</v>
      </c>
      <c r="I1226" s="105" t="s">
        <v>873</v>
      </c>
    </row>
    <row r="1227" spans="1:9" s="108" customFormat="1">
      <c r="A1227" s="105" t="s">
        <v>892</v>
      </c>
      <c r="B1227" s="105" t="s">
        <v>55</v>
      </c>
      <c r="C1227" s="106">
        <v>2010</v>
      </c>
      <c r="D1227" s="107">
        <v>0.2</v>
      </c>
      <c r="E1227" s="105" t="s">
        <v>23</v>
      </c>
      <c r="F1227" s="105" t="s">
        <v>1201</v>
      </c>
      <c r="G1227" s="105"/>
      <c r="H1227" s="105" t="s">
        <v>872</v>
      </c>
      <c r="I1227" s="105" t="s">
        <v>873</v>
      </c>
    </row>
    <row r="1228" spans="1:9" s="108" customFormat="1">
      <c r="A1228" s="105" t="s">
        <v>893</v>
      </c>
      <c r="B1228" s="105" t="s">
        <v>875</v>
      </c>
      <c r="C1228" s="106">
        <v>0.42499999999999999</v>
      </c>
      <c r="D1228" s="107">
        <v>0.2</v>
      </c>
      <c r="E1228" s="105" t="s">
        <v>23</v>
      </c>
      <c r="F1228" s="105" t="s">
        <v>1201</v>
      </c>
      <c r="G1228" s="105"/>
      <c r="H1228" s="105" t="s">
        <v>872</v>
      </c>
      <c r="I1228" s="105" t="s">
        <v>873</v>
      </c>
    </row>
    <row r="1229" spans="1:9" s="108" customFormat="1">
      <c r="A1229" s="105" t="s">
        <v>894</v>
      </c>
      <c r="B1229" s="105" t="s">
        <v>55</v>
      </c>
      <c r="C1229" s="106">
        <v>3500</v>
      </c>
      <c r="D1229" s="107">
        <v>0.2</v>
      </c>
      <c r="E1229" s="105" t="s">
        <v>23</v>
      </c>
      <c r="F1229" s="105" t="s">
        <v>1201</v>
      </c>
      <c r="G1229" s="105"/>
      <c r="H1229" s="105" t="s">
        <v>872</v>
      </c>
      <c r="I1229" s="105" t="s">
        <v>873</v>
      </c>
    </row>
    <row r="1230" spans="1:9" s="108" customFormat="1">
      <c r="A1230" s="105" t="s">
        <v>895</v>
      </c>
      <c r="B1230" s="105" t="s">
        <v>875</v>
      </c>
      <c r="C1230" s="106">
        <v>0.39</v>
      </c>
      <c r="D1230" s="107">
        <v>0.2</v>
      </c>
      <c r="E1230" s="105" t="s">
        <v>23</v>
      </c>
      <c r="F1230" s="105" t="s">
        <v>1201</v>
      </c>
      <c r="G1230" s="105"/>
      <c r="H1230" s="105" t="s">
        <v>872</v>
      </c>
      <c r="I1230" s="105" t="s">
        <v>873</v>
      </c>
    </row>
    <row r="1231" spans="1:9" s="108" customFormat="1" ht="15.6">
      <c r="A1231" s="105" t="s">
        <v>896</v>
      </c>
      <c r="B1231" s="105" t="s">
        <v>52</v>
      </c>
      <c r="C1231" s="106">
        <f>C1252</f>
        <v>3.1</v>
      </c>
      <c r="D1231" s="109">
        <v>0.3</v>
      </c>
      <c r="E1231" s="105" t="s">
        <v>23</v>
      </c>
      <c r="F1231" s="106" t="s">
        <v>1201</v>
      </c>
      <c r="G1231" s="105"/>
      <c r="H1231" s="105" t="s">
        <v>872</v>
      </c>
      <c r="I1231" s="105" t="s">
        <v>873</v>
      </c>
    </row>
    <row r="1232" spans="1:9" s="108" customFormat="1" ht="15.6">
      <c r="A1232" s="115" t="s">
        <v>1796</v>
      </c>
      <c r="B1232" s="105" t="s">
        <v>52</v>
      </c>
      <c r="C1232" s="106">
        <v>2.7</v>
      </c>
      <c r="D1232" s="109">
        <v>0.1</v>
      </c>
      <c r="E1232" s="105" t="s">
        <v>23</v>
      </c>
      <c r="F1232" s="106" t="s">
        <v>1201</v>
      </c>
      <c r="G1232" s="105"/>
      <c r="H1232" s="105" t="s">
        <v>872</v>
      </c>
      <c r="I1232" s="105" t="s">
        <v>873</v>
      </c>
    </row>
    <row r="1233" spans="1:9" s="108" customFormat="1">
      <c r="A1233" s="105" t="s">
        <v>898</v>
      </c>
      <c r="B1233" s="105" t="s">
        <v>55</v>
      </c>
      <c r="C1233" s="106">
        <f>3654*3921/3730</f>
        <v>3841.1083109919573</v>
      </c>
      <c r="D1233" s="107">
        <v>0.05</v>
      </c>
      <c r="E1233" s="105" t="s">
        <v>23</v>
      </c>
      <c r="F1233" s="105" t="s">
        <v>1201</v>
      </c>
      <c r="G1233" s="105"/>
      <c r="H1233" s="105" t="s">
        <v>872</v>
      </c>
      <c r="I1233" s="105" t="s">
        <v>873</v>
      </c>
    </row>
    <row r="1234" spans="1:9" s="108" customFormat="1">
      <c r="A1234" s="105" t="s">
        <v>899</v>
      </c>
      <c r="B1234" s="105" t="s">
        <v>875</v>
      </c>
      <c r="C1234" s="106">
        <v>0.308</v>
      </c>
      <c r="D1234" s="107">
        <v>0.05</v>
      </c>
      <c r="E1234" s="105" t="s">
        <v>23</v>
      </c>
      <c r="F1234" s="105" t="s">
        <v>1201</v>
      </c>
      <c r="G1234" s="105"/>
      <c r="H1234" s="105" t="s">
        <v>872</v>
      </c>
      <c r="I1234" s="105" t="s">
        <v>873</v>
      </c>
    </row>
    <row r="1235" spans="1:9" s="108" customFormat="1" ht="15.6">
      <c r="A1235" s="105" t="s">
        <v>900</v>
      </c>
      <c r="B1235" s="105" t="s">
        <v>52</v>
      </c>
      <c r="C1235" s="106">
        <v>3.01</v>
      </c>
      <c r="D1235" s="109">
        <v>0.05</v>
      </c>
      <c r="E1235" s="105" t="s">
        <v>23</v>
      </c>
      <c r="F1235" s="106" t="s">
        <v>1201</v>
      </c>
      <c r="G1235" s="105"/>
      <c r="H1235" s="105" t="s">
        <v>872</v>
      </c>
      <c r="I1235" s="105" t="s">
        <v>873</v>
      </c>
    </row>
    <row r="1236" spans="1:9" s="133" customFormat="1">
      <c r="A1236" s="130" t="s">
        <v>901</v>
      </c>
      <c r="B1236" s="130" t="s">
        <v>55</v>
      </c>
      <c r="C1236" s="131">
        <v>3753.2620155038758</v>
      </c>
      <c r="D1236" s="132">
        <v>0.05</v>
      </c>
      <c r="E1236" s="130" t="s">
        <v>23</v>
      </c>
      <c r="F1236" s="130" t="s">
        <v>167</v>
      </c>
      <c r="G1236" s="130"/>
      <c r="H1236" s="130" t="s">
        <v>872</v>
      </c>
      <c r="I1236" s="130" t="s">
        <v>873</v>
      </c>
    </row>
    <row r="1237" spans="1:9" s="133" customFormat="1">
      <c r="A1237" s="130" t="s">
        <v>902</v>
      </c>
      <c r="B1237" s="130" t="s">
        <v>875</v>
      </c>
      <c r="C1237" s="131">
        <v>0.30708507399577167</v>
      </c>
      <c r="D1237" s="132">
        <v>0.05</v>
      </c>
      <c r="E1237" s="130" t="s">
        <v>23</v>
      </c>
      <c r="F1237" s="130" t="s">
        <v>167</v>
      </c>
      <c r="G1237" s="130"/>
      <c r="H1237" s="130" t="s">
        <v>872</v>
      </c>
      <c r="I1237" s="130" t="s">
        <v>873</v>
      </c>
    </row>
    <row r="1238" spans="1:9" s="133" customFormat="1">
      <c r="A1238" s="130" t="s">
        <v>903</v>
      </c>
      <c r="B1238" s="130" t="s">
        <v>52</v>
      </c>
      <c r="C1238" s="131">
        <v>2.8337128217054262</v>
      </c>
      <c r="D1238" s="132">
        <v>0.05</v>
      </c>
      <c r="E1238" s="130" t="s">
        <v>23</v>
      </c>
      <c r="F1238" s="130" t="s">
        <v>167</v>
      </c>
      <c r="G1238" s="130"/>
      <c r="H1238" s="130" t="s">
        <v>872</v>
      </c>
      <c r="I1238" s="130" t="s">
        <v>873</v>
      </c>
    </row>
    <row r="1239" spans="1:9" s="108" customFormat="1" ht="15.6">
      <c r="A1239" s="105" t="s">
        <v>904</v>
      </c>
      <c r="B1239" s="105" t="s">
        <v>52</v>
      </c>
      <c r="C1239" s="106">
        <v>2.7</v>
      </c>
      <c r="D1239" s="109">
        <v>0.1</v>
      </c>
      <c r="E1239" s="105" t="s">
        <v>23</v>
      </c>
      <c r="F1239" s="106" t="s">
        <v>1201</v>
      </c>
      <c r="G1239" s="105"/>
      <c r="H1239" s="105" t="s">
        <v>872</v>
      </c>
      <c r="I1239" s="105" t="s">
        <v>873</v>
      </c>
    </row>
    <row r="1240" spans="1:9" s="108" customFormat="1" ht="15.6">
      <c r="A1240" s="105" t="s">
        <v>1797</v>
      </c>
      <c r="B1240" s="105" t="s">
        <v>55</v>
      </c>
      <c r="C1240" s="106">
        <v>3559</v>
      </c>
      <c r="D1240" s="109">
        <v>0.05</v>
      </c>
      <c r="E1240" s="105" t="s">
        <v>23</v>
      </c>
      <c r="F1240" s="106" t="s">
        <v>1201</v>
      </c>
      <c r="G1240" s="105"/>
      <c r="H1240" s="105" t="s">
        <v>872</v>
      </c>
      <c r="I1240" s="105" t="s">
        <v>873</v>
      </c>
    </row>
    <row r="1241" spans="1:9" s="108" customFormat="1" ht="15.6">
      <c r="A1241" s="105" t="s">
        <v>1798</v>
      </c>
      <c r="B1241" s="105" t="s">
        <v>875</v>
      </c>
      <c r="C1241" s="106">
        <v>0.311</v>
      </c>
      <c r="D1241" s="109">
        <v>0.05</v>
      </c>
      <c r="E1241" s="105" t="s">
        <v>23</v>
      </c>
      <c r="F1241" s="106" t="s">
        <v>1201</v>
      </c>
      <c r="G1241" s="105"/>
      <c r="H1241" s="105" t="s">
        <v>872</v>
      </c>
      <c r="I1241" s="105" t="s">
        <v>873</v>
      </c>
    </row>
    <row r="1242" spans="1:9" s="108" customFormat="1" ht="15.6">
      <c r="A1242" s="105" t="s">
        <v>905</v>
      </c>
      <c r="B1242" s="105" t="s">
        <v>52</v>
      </c>
      <c r="C1242" s="106">
        <v>1.1100000000000001</v>
      </c>
      <c r="D1242" s="109">
        <v>0.1</v>
      </c>
      <c r="E1242" s="105" t="s">
        <v>23</v>
      </c>
      <c r="F1242" s="106" t="s">
        <v>1201</v>
      </c>
      <c r="G1242" s="105"/>
      <c r="H1242" s="105" t="s">
        <v>872</v>
      </c>
      <c r="I1242" s="105" t="s">
        <v>873</v>
      </c>
    </row>
    <row r="1243" spans="1:9" s="108" customFormat="1" ht="15.6">
      <c r="A1243" s="105" t="s">
        <v>1799</v>
      </c>
      <c r="B1243" s="105" t="s">
        <v>55</v>
      </c>
      <c r="C1243" s="106">
        <v>1481</v>
      </c>
      <c r="D1243" s="109">
        <v>0.05</v>
      </c>
      <c r="E1243" s="105" t="s">
        <v>23</v>
      </c>
      <c r="F1243" s="106" t="s">
        <v>1201</v>
      </c>
      <c r="G1243" s="105"/>
      <c r="H1243" s="105" t="s">
        <v>872</v>
      </c>
      <c r="I1243" s="105" t="s">
        <v>873</v>
      </c>
    </row>
    <row r="1244" spans="1:9" s="108" customFormat="1" ht="15.6">
      <c r="A1244" s="105" t="s">
        <v>1800</v>
      </c>
      <c r="B1244" s="105" t="s">
        <v>875</v>
      </c>
      <c r="C1244" s="106">
        <v>0.17399999999999999</v>
      </c>
      <c r="D1244" s="109">
        <v>0.05</v>
      </c>
      <c r="E1244" s="105" t="s">
        <v>23</v>
      </c>
      <c r="F1244" s="106" t="s">
        <v>1201</v>
      </c>
      <c r="G1244" s="105"/>
      <c r="H1244" s="105" t="s">
        <v>872</v>
      </c>
      <c r="I1244" s="105" t="s">
        <v>873</v>
      </c>
    </row>
    <row r="1245" spans="1:9" s="108" customFormat="1" ht="15.6">
      <c r="A1245" s="105" t="s">
        <v>906</v>
      </c>
      <c r="B1245" s="105" t="s">
        <v>52</v>
      </c>
      <c r="C1245" s="106">
        <v>3.19</v>
      </c>
      <c r="D1245" s="109">
        <v>0.05</v>
      </c>
      <c r="E1245" s="105" t="s">
        <v>23</v>
      </c>
      <c r="F1245" s="106" t="s">
        <v>1201</v>
      </c>
      <c r="G1245" s="105"/>
      <c r="H1245" s="105" t="s">
        <v>872</v>
      </c>
      <c r="I1245" s="105" t="s">
        <v>873</v>
      </c>
    </row>
    <row r="1246" spans="1:9" s="108" customFormat="1" ht="15.6">
      <c r="A1246" s="105" t="s">
        <v>907</v>
      </c>
      <c r="B1246" s="105" t="s">
        <v>52</v>
      </c>
      <c r="C1246" s="106">
        <v>3.25</v>
      </c>
      <c r="D1246" s="109">
        <v>0.05</v>
      </c>
      <c r="E1246" s="105" t="s">
        <v>23</v>
      </c>
      <c r="F1246" s="106" t="s">
        <v>1201</v>
      </c>
      <c r="G1246" s="105"/>
      <c r="H1246" s="105" t="s">
        <v>872</v>
      </c>
      <c r="I1246" s="105" t="s">
        <v>873</v>
      </c>
    </row>
    <row r="1247" spans="1:9" s="108" customFormat="1">
      <c r="A1247" s="105" t="s">
        <v>908</v>
      </c>
      <c r="B1247" s="105" t="s">
        <v>55</v>
      </c>
      <c r="C1247" s="106">
        <v>3457.44</v>
      </c>
      <c r="D1247" s="107">
        <v>0.05</v>
      </c>
      <c r="E1247" s="105" t="s">
        <v>23</v>
      </c>
      <c r="F1247" s="105" t="s">
        <v>1201</v>
      </c>
      <c r="G1247" s="105"/>
      <c r="H1247" s="105" t="s">
        <v>872</v>
      </c>
      <c r="I1247" s="105" t="s">
        <v>873</v>
      </c>
    </row>
    <row r="1248" spans="1:9" s="108" customFormat="1" ht="15.6">
      <c r="A1248" s="105" t="s">
        <v>909</v>
      </c>
      <c r="B1248" s="105" t="s">
        <v>52</v>
      </c>
      <c r="C1248" s="106">
        <v>3.25</v>
      </c>
      <c r="D1248" s="109">
        <v>0.05</v>
      </c>
      <c r="E1248" s="105" t="s">
        <v>23</v>
      </c>
      <c r="F1248" s="106" t="s">
        <v>1201</v>
      </c>
      <c r="G1248" s="105"/>
      <c r="H1248" s="105" t="s">
        <v>872</v>
      </c>
      <c r="I1248" s="105" t="s">
        <v>873</v>
      </c>
    </row>
    <row r="1249" spans="1:9" s="108" customFormat="1" ht="15.6">
      <c r="A1249" s="105" t="s">
        <v>910</v>
      </c>
      <c r="B1249" s="105" t="s">
        <v>52</v>
      </c>
      <c r="C1249" s="106">
        <v>3.28</v>
      </c>
      <c r="D1249" s="109">
        <v>0.05</v>
      </c>
      <c r="E1249" s="105" t="s">
        <v>23</v>
      </c>
      <c r="F1249" s="106" t="s">
        <v>1201</v>
      </c>
      <c r="G1249" s="105"/>
      <c r="H1249" s="105" t="s">
        <v>872</v>
      </c>
      <c r="I1249" s="105" t="s">
        <v>873</v>
      </c>
    </row>
    <row r="1250" spans="1:9" s="108" customFormat="1">
      <c r="A1250" s="105" t="s">
        <v>1801</v>
      </c>
      <c r="B1250" s="105" t="s">
        <v>74</v>
      </c>
      <c r="C1250" s="106">
        <v>3.77</v>
      </c>
      <c r="D1250" s="107">
        <v>0.1</v>
      </c>
      <c r="E1250" s="105" t="s">
        <v>23</v>
      </c>
      <c r="F1250" s="106" t="s">
        <v>1201</v>
      </c>
      <c r="G1250" s="105"/>
      <c r="H1250" s="105" t="s">
        <v>872</v>
      </c>
      <c r="I1250" s="105" t="s">
        <v>873</v>
      </c>
    </row>
    <row r="1251" spans="1:9" s="108" customFormat="1">
      <c r="A1251" s="105" t="s">
        <v>51</v>
      </c>
      <c r="B1251" s="105" t="s">
        <v>52</v>
      </c>
      <c r="C1251" s="106">
        <v>3.1690316542833727</v>
      </c>
      <c r="D1251" s="107">
        <v>0.1</v>
      </c>
      <c r="E1251" s="105" t="s">
        <v>23</v>
      </c>
      <c r="F1251" s="106" t="s">
        <v>1201</v>
      </c>
      <c r="G1251" s="105"/>
      <c r="H1251" s="105" t="s">
        <v>872</v>
      </c>
      <c r="I1251" s="105" t="s">
        <v>873</v>
      </c>
    </row>
    <row r="1252" spans="1:9" s="108" customFormat="1" ht="15.6">
      <c r="A1252" s="105" t="s">
        <v>1802</v>
      </c>
      <c r="B1252" s="105" t="s">
        <v>52</v>
      </c>
      <c r="C1252" s="106">
        <v>3.1</v>
      </c>
      <c r="D1252" s="109">
        <v>0.1</v>
      </c>
      <c r="E1252" s="105" t="s">
        <v>23</v>
      </c>
      <c r="F1252" s="106" t="s">
        <v>1201</v>
      </c>
      <c r="G1252" s="105"/>
      <c r="H1252" s="105" t="s">
        <v>872</v>
      </c>
      <c r="I1252" s="105" t="s">
        <v>873</v>
      </c>
    </row>
    <row r="1253" spans="1:9" s="108" customFormat="1" ht="15.6">
      <c r="A1253" s="105" t="s">
        <v>1803</v>
      </c>
      <c r="B1253" s="105" t="s">
        <v>52</v>
      </c>
      <c r="C1253" s="106">
        <v>2.63</v>
      </c>
      <c r="D1253" s="109">
        <v>0.1</v>
      </c>
      <c r="E1253" s="105" t="s">
        <v>23</v>
      </c>
      <c r="F1253" s="106" t="s">
        <v>1201</v>
      </c>
      <c r="G1253" s="105"/>
      <c r="H1253" s="105" t="s">
        <v>872</v>
      </c>
      <c r="I1253" s="105" t="s">
        <v>873</v>
      </c>
    </row>
    <row r="1254" spans="1:9" s="108" customFormat="1" ht="15.6">
      <c r="A1254" s="105" t="s">
        <v>1804</v>
      </c>
      <c r="B1254" s="105" t="s">
        <v>52</v>
      </c>
      <c r="C1254" s="106">
        <v>3.04</v>
      </c>
      <c r="D1254" s="109">
        <v>0.05</v>
      </c>
      <c r="E1254" s="105" t="s">
        <v>23</v>
      </c>
      <c r="F1254" s="106" t="s">
        <v>1201</v>
      </c>
      <c r="G1254" s="105"/>
      <c r="H1254" s="105" t="s">
        <v>872</v>
      </c>
      <c r="I1254" s="105" t="s">
        <v>873</v>
      </c>
    </row>
    <row r="1255" spans="1:9" s="108" customFormat="1" ht="15.6">
      <c r="A1255" s="105" t="s">
        <v>1805</v>
      </c>
      <c r="B1255" s="105" t="s">
        <v>52</v>
      </c>
      <c r="C1255" s="106">
        <v>1.21</v>
      </c>
      <c r="D1255" s="109">
        <v>0.05</v>
      </c>
      <c r="E1255" s="105" t="s">
        <v>23</v>
      </c>
      <c r="F1255" s="106" t="s">
        <v>1201</v>
      </c>
      <c r="G1255" s="105"/>
      <c r="H1255" s="105" t="s">
        <v>872</v>
      </c>
      <c r="I1255" s="105" t="s">
        <v>873</v>
      </c>
    </row>
    <row r="1256" spans="1:9" s="108" customFormat="1">
      <c r="A1256" s="105" t="s">
        <v>911</v>
      </c>
      <c r="B1256" s="105" t="s">
        <v>875</v>
      </c>
      <c r="C1256" s="106">
        <v>0.65880000000000005</v>
      </c>
      <c r="D1256" s="107">
        <v>0.05</v>
      </c>
      <c r="E1256" s="105" t="s">
        <v>23</v>
      </c>
      <c r="F1256" s="105" t="s">
        <v>1201</v>
      </c>
      <c r="G1256" s="105"/>
      <c r="H1256" s="105" t="s">
        <v>872</v>
      </c>
      <c r="I1256" s="105" t="s">
        <v>873</v>
      </c>
    </row>
    <row r="1257" spans="1:9" s="108" customFormat="1">
      <c r="A1257" s="105" t="s">
        <v>912</v>
      </c>
      <c r="B1257" s="105" t="s">
        <v>875</v>
      </c>
      <c r="C1257" s="106">
        <v>0.16920000000000002</v>
      </c>
      <c r="D1257" s="107">
        <v>0.05</v>
      </c>
      <c r="E1257" s="105" t="s">
        <v>23</v>
      </c>
      <c r="F1257" s="105" t="s">
        <v>1201</v>
      </c>
      <c r="G1257" s="105"/>
      <c r="H1257" s="105" t="s">
        <v>872</v>
      </c>
      <c r="I1257" s="105" t="s">
        <v>873</v>
      </c>
    </row>
    <row r="1258" spans="1:9" s="108" customFormat="1">
      <c r="A1258" s="105" t="s">
        <v>913</v>
      </c>
      <c r="B1258" s="105" t="s">
        <v>875</v>
      </c>
      <c r="C1258" s="106">
        <v>0.96479999999999988</v>
      </c>
      <c r="D1258" s="107">
        <v>0.05</v>
      </c>
      <c r="E1258" s="105" t="s">
        <v>23</v>
      </c>
      <c r="F1258" s="105" t="s">
        <v>1201</v>
      </c>
      <c r="G1258" s="105"/>
      <c r="H1258" s="105" t="s">
        <v>872</v>
      </c>
      <c r="I1258" s="105" t="s">
        <v>873</v>
      </c>
    </row>
    <row r="1259" spans="1:9" s="108" customFormat="1">
      <c r="A1259" s="105" t="s">
        <v>914</v>
      </c>
      <c r="B1259" s="105" t="s">
        <v>55</v>
      </c>
      <c r="C1259" s="106">
        <v>3647.06</v>
      </c>
      <c r="D1259" s="107">
        <v>0.05</v>
      </c>
      <c r="E1259" s="105" t="s">
        <v>23</v>
      </c>
      <c r="F1259" s="105" t="s">
        <v>1201</v>
      </c>
      <c r="G1259" s="105"/>
      <c r="H1259" s="105" t="s">
        <v>872</v>
      </c>
      <c r="I1259" s="105" t="s">
        <v>873</v>
      </c>
    </row>
    <row r="1260" spans="1:9" s="108" customFormat="1">
      <c r="A1260" s="105" t="s">
        <v>915</v>
      </c>
      <c r="B1260" s="105" t="s">
        <v>875</v>
      </c>
      <c r="C1260" s="106">
        <v>0.27200000000000002</v>
      </c>
      <c r="D1260" s="107">
        <v>0.05</v>
      </c>
      <c r="E1260" s="105" t="s">
        <v>23</v>
      </c>
      <c r="F1260" s="105" t="s">
        <v>1201</v>
      </c>
      <c r="G1260" s="105"/>
      <c r="H1260" s="105" t="s">
        <v>872</v>
      </c>
      <c r="I1260" s="105" t="s">
        <v>873</v>
      </c>
    </row>
    <row r="1261" spans="1:9" s="108" customFormat="1">
      <c r="A1261" s="105" t="s">
        <v>916</v>
      </c>
      <c r="B1261" s="105" t="s">
        <v>52</v>
      </c>
      <c r="C1261" s="106">
        <v>1.86</v>
      </c>
      <c r="D1261" s="107">
        <v>0.05</v>
      </c>
      <c r="E1261" s="105" t="s">
        <v>23</v>
      </c>
      <c r="F1261" s="105" t="s">
        <v>1201</v>
      </c>
      <c r="G1261" s="105"/>
      <c r="H1261" s="105" t="s">
        <v>872</v>
      </c>
      <c r="I1261" s="105" t="s">
        <v>873</v>
      </c>
    </row>
    <row r="1262" spans="1:9">
      <c r="A1262" s="17" t="s">
        <v>917</v>
      </c>
      <c r="B1262" s="17" t="s">
        <v>875</v>
      </c>
      <c r="C1262" s="58">
        <v>0.20159999999999997</v>
      </c>
      <c r="D1262" s="57">
        <v>0.1</v>
      </c>
      <c r="E1262" s="17" t="s">
        <v>23</v>
      </c>
      <c r="F1262" s="17" t="s">
        <v>167</v>
      </c>
      <c r="G1262" s="17"/>
      <c r="H1262" s="17" t="s">
        <v>872</v>
      </c>
      <c r="I1262" s="17" t="s">
        <v>873</v>
      </c>
    </row>
    <row r="1263" spans="1:9">
      <c r="A1263" s="17" t="s">
        <v>918</v>
      </c>
      <c r="B1263" s="17" t="s">
        <v>875</v>
      </c>
      <c r="C1263" s="58">
        <v>0.18720000000000001</v>
      </c>
      <c r="D1263" s="57">
        <v>0.1</v>
      </c>
      <c r="E1263" s="17" t="s">
        <v>23</v>
      </c>
      <c r="F1263" s="17" t="s">
        <v>167</v>
      </c>
      <c r="G1263" s="17"/>
      <c r="H1263" s="17" t="s">
        <v>872</v>
      </c>
      <c r="I1263" s="17" t="s">
        <v>873</v>
      </c>
    </row>
    <row r="1264" spans="1:9" s="108" customFormat="1">
      <c r="A1264" s="105" t="s">
        <v>919</v>
      </c>
      <c r="B1264" s="105" t="s">
        <v>55</v>
      </c>
      <c r="C1264" s="106">
        <f>C1265*49.6</f>
        <v>3357.92</v>
      </c>
      <c r="D1264" s="107">
        <v>0.05</v>
      </c>
      <c r="E1264" s="105" t="s">
        <v>23</v>
      </c>
      <c r="F1264" s="105" t="s">
        <v>1201</v>
      </c>
      <c r="G1264" s="105"/>
      <c r="H1264" s="105" t="s">
        <v>872</v>
      </c>
      <c r="I1264" s="105" t="s">
        <v>873</v>
      </c>
    </row>
    <row r="1265" spans="1:9" s="108" customFormat="1">
      <c r="A1265" s="105" t="s">
        <v>1806</v>
      </c>
      <c r="B1265" s="105" t="s">
        <v>1792</v>
      </c>
      <c r="C1265" s="106">
        <v>67.7</v>
      </c>
      <c r="D1265" s="107">
        <v>0.05</v>
      </c>
      <c r="E1265" s="105" t="s">
        <v>23</v>
      </c>
      <c r="F1265" s="105" t="s">
        <v>1201</v>
      </c>
      <c r="G1265" s="105"/>
      <c r="H1265" s="105" t="s">
        <v>872</v>
      </c>
      <c r="I1265" s="105" t="s">
        <v>873</v>
      </c>
    </row>
    <row r="1266" spans="1:9" s="108" customFormat="1">
      <c r="A1266" s="105" t="s">
        <v>920</v>
      </c>
      <c r="B1266" s="105" t="s">
        <v>875</v>
      </c>
      <c r="C1266" s="106">
        <v>0.24399999999999999</v>
      </c>
      <c r="D1266" s="107">
        <v>0.05</v>
      </c>
      <c r="E1266" s="105" t="s">
        <v>23</v>
      </c>
      <c r="F1266" s="105" t="s">
        <v>1201</v>
      </c>
      <c r="G1266" s="105"/>
      <c r="H1266" s="105" t="s">
        <v>872</v>
      </c>
      <c r="I1266" s="105" t="s">
        <v>873</v>
      </c>
    </row>
    <row r="1267" spans="1:9" s="108" customFormat="1" ht="15.6">
      <c r="A1267" s="105" t="s">
        <v>1807</v>
      </c>
      <c r="B1267" s="105" t="s">
        <v>875</v>
      </c>
      <c r="C1267" s="106">
        <v>0.23</v>
      </c>
      <c r="D1267" s="109">
        <v>0.1</v>
      </c>
      <c r="E1267" s="105" t="s">
        <v>23</v>
      </c>
      <c r="F1267" s="105" t="s">
        <v>1201</v>
      </c>
      <c r="G1267" s="105"/>
      <c r="H1267" s="105" t="s">
        <v>872</v>
      </c>
      <c r="I1267" s="105" t="s">
        <v>873</v>
      </c>
    </row>
    <row r="1268" spans="1:9" s="108" customFormat="1" ht="15.6">
      <c r="A1268" s="105" t="s">
        <v>1808</v>
      </c>
      <c r="B1268" s="105" t="s">
        <v>55</v>
      </c>
      <c r="C1268" s="106">
        <v>2960</v>
      </c>
      <c r="D1268" s="109">
        <v>0.1</v>
      </c>
      <c r="E1268" s="105" t="s">
        <v>23</v>
      </c>
      <c r="F1268" s="105" t="s">
        <v>1201</v>
      </c>
      <c r="G1268" s="105"/>
      <c r="H1268" s="105" t="s">
        <v>872</v>
      </c>
      <c r="I1268" s="105" t="s">
        <v>873</v>
      </c>
    </row>
    <row r="1269" spans="1:9" s="108" customFormat="1" ht="15.6">
      <c r="A1269" s="105" t="s">
        <v>1809</v>
      </c>
      <c r="B1269" s="105" t="s">
        <v>44</v>
      </c>
      <c r="C1269" s="106">
        <v>2.34</v>
      </c>
      <c r="D1269" s="109">
        <v>0.1</v>
      </c>
      <c r="E1269" s="105" t="s">
        <v>23</v>
      </c>
      <c r="F1269" s="105" t="s">
        <v>1201</v>
      </c>
      <c r="G1269" s="105"/>
      <c r="H1269" s="105" t="s">
        <v>872</v>
      </c>
      <c r="I1269" s="105" t="s">
        <v>873</v>
      </c>
    </row>
    <row r="1270" spans="1:9" s="108" customFormat="1">
      <c r="A1270" s="105" t="s">
        <v>1810</v>
      </c>
      <c r="B1270" s="105" t="s">
        <v>55</v>
      </c>
      <c r="C1270" s="106">
        <v>3280</v>
      </c>
      <c r="D1270" s="107">
        <v>0.05</v>
      </c>
      <c r="E1270" s="105" t="s">
        <v>23</v>
      </c>
      <c r="F1270" s="105" t="s">
        <v>1201</v>
      </c>
      <c r="G1270" s="105"/>
      <c r="H1270" s="105" t="s">
        <v>872</v>
      </c>
      <c r="I1270" s="105" t="s">
        <v>873</v>
      </c>
    </row>
    <row r="1271" spans="1:9" s="108" customFormat="1">
      <c r="A1271" s="105" t="s">
        <v>1811</v>
      </c>
      <c r="B1271" s="105" t="s">
        <v>875</v>
      </c>
      <c r="C1271" s="106">
        <v>0.23799999999999999</v>
      </c>
      <c r="D1271" s="107">
        <v>0.05</v>
      </c>
      <c r="E1271" s="105" t="s">
        <v>23</v>
      </c>
      <c r="F1271" s="105" t="s">
        <v>1201</v>
      </c>
      <c r="G1271" s="105"/>
      <c r="H1271" s="105" t="s">
        <v>872</v>
      </c>
      <c r="I1271" s="105" t="s">
        <v>873</v>
      </c>
    </row>
    <row r="1272" spans="1:9" s="108" customFormat="1" ht="15.6">
      <c r="A1272" s="105" t="s">
        <v>922</v>
      </c>
      <c r="B1272" s="105" t="s">
        <v>74</v>
      </c>
      <c r="C1272" s="106">
        <f>C1270/1000</f>
        <v>3.28</v>
      </c>
      <c r="D1272" s="109">
        <v>0.05</v>
      </c>
      <c r="E1272" s="105" t="s">
        <v>23</v>
      </c>
      <c r="F1272" s="106" t="s">
        <v>671</v>
      </c>
      <c r="G1272" s="105"/>
      <c r="H1272" s="105" t="s">
        <v>872</v>
      </c>
      <c r="I1272" s="105" t="s">
        <v>873</v>
      </c>
    </row>
    <row r="1273" spans="1:9" s="108" customFormat="1" ht="15.6">
      <c r="A1273" s="105" t="s">
        <v>923</v>
      </c>
      <c r="B1273" s="105" t="s">
        <v>52</v>
      </c>
      <c r="C1273" s="106">
        <v>3.16</v>
      </c>
      <c r="D1273" s="109">
        <v>0.1</v>
      </c>
      <c r="E1273" s="105" t="s">
        <v>23</v>
      </c>
      <c r="F1273" s="105" t="s">
        <v>1201</v>
      </c>
      <c r="G1273" s="105"/>
      <c r="H1273" s="105" t="s">
        <v>872</v>
      </c>
      <c r="I1273" s="105" t="s">
        <v>873</v>
      </c>
    </row>
    <row r="1274" spans="1:9" s="108" customFormat="1" ht="15.6">
      <c r="A1274" s="105" t="s">
        <v>924</v>
      </c>
      <c r="B1274" s="105" t="s">
        <v>74</v>
      </c>
      <c r="C1274" s="106">
        <v>3.77</v>
      </c>
      <c r="D1274" s="109">
        <v>0.1</v>
      </c>
      <c r="E1274" s="105" t="s">
        <v>23</v>
      </c>
      <c r="F1274" s="105" t="s">
        <v>1201</v>
      </c>
      <c r="G1274" s="105"/>
      <c r="H1274" s="105" t="s">
        <v>872</v>
      </c>
      <c r="I1274" s="105" t="s">
        <v>873</v>
      </c>
    </row>
    <row r="1275" spans="1:9" ht="15.6">
      <c r="A1275" s="17" t="s">
        <v>925</v>
      </c>
      <c r="B1275" s="17" t="s">
        <v>52</v>
      </c>
      <c r="C1275" s="58">
        <v>3.1872008271545003</v>
      </c>
      <c r="D1275" s="134">
        <v>0.3</v>
      </c>
      <c r="E1275" s="17" t="s">
        <v>23</v>
      </c>
      <c r="F1275" s="58" t="s">
        <v>179</v>
      </c>
      <c r="G1275" s="17"/>
      <c r="H1275" s="17" t="s">
        <v>872</v>
      </c>
      <c r="I1275" s="17" t="s">
        <v>873</v>
      </c>
    </row>
    <row r="1276" spans="1:9" ht="15.6">
      <c r="A1276" s="17" t="s">
        <v>926</v>
      </c>
      <c r="B1276" s="17" t="s">
        <v>52</v>
      </c>
      <c r="C1276" s="58">
        <v>3.2493083271545</v>
      </c>
      <c r="D1276" s="134">
        <v>0.3</v>
      </c>
      <c r="E1276" s="17" t="s">
        <v>23</v>
      </c>
      <c r="F1276" s="58" t="s">
        <v>179</v>
      </c>
      <c r="G1276" s="17"/>
      <c r="H1276" s="17" t="s">
        <v>872</v>
      </c>
      <c r="I1276" s="17" t="s">
        <v>873</v>
      </c>
    </row>
    <row r="1277" spans="1:9" s="108" customFormat="1" ht="15.6">
      <c r="A1277" s="122" t="s">
        <v>1812</v>
      </c>
      <c r="B1277" s="105" t="s">
        <v>52</v>
      </c>
      <c r="C1277" s="106">
        <v>2.64</v>
      </c>
      <c r="D1277" s="109">
        <v>0.1</v>
      </c>
      <c r="E1277" s="105" t="s">
        <v>23</v>
      </c>
      <c r="F1277" s="105" t="s">
        <v>1201</v>
      </c>
      <c r="G1277" s="105"/>
      <c r="H1277" s="105" t="s">
        <v>872</v>
      </c>
      <c r="I1277" s="105" t="s">
        <v>873</v>
      </c>
    </row>
    <row r="1278" spans="1:9" s="108" customFormat="1" ht="15.6">
      <c r="A1278" s="105" t="s">
        <v>1813</v>
      </c>
      <c r="B1278" s="105" t="s">
        <v>52</v>
      </c>
      <c r="C1278" s="106">
        <v>3.04</v>
      </c>
      <c r="D1278" s="109">
        <v>0.05</v>
      </c>
      <c r="E1278" s="105" t="s">
        <v>23</v>
      </c>
      <c r="F1278" s="105" t="s">
        <v>1201</v>
      </c>
      <c r="G1278" s="105"/>
      <c r="H1278" s="105" t="s">
        <v>872</v>
      </c>
      <c r="I1278" s="105" t="s">
        <v>873</v>
      </c>
    </row>
    <row r="1279" spans="1:9" s="108" customFormat="1" ht="15.6">
      <c r="A1279" s="122" t="s">
        <v>1814</v>
      </c>
      <c r="B1279" s="105" t="s">
        <v>52</v>
      </c>
      <c r="C1279" s="106">
        <v>1.21</v>
      </c>
      <c r="D1279" s="109">
        <v>0.05</v>
      </c>
      <c r="E1279" s="105" t="s">
        <v>23</v>
      </c>
      <c r="F1279" s="105" t="s">
        <v>1201</v>
      </c>
      <c r="G1279" s="105"/>
      <c r="H1279" s="105" t="s">
        <v>872</v>
      </c>
      <c r="I1279" s="105" t="s">
        <v>873</v>
      </c>
    </row>
    <row r="1280" spans="1:9" s="108" customFormat="1" ht="15.6">
      <c r="A1280" s="105" t="s">
        <v>1815</v>
      </c>
      <c r="B1280" s="105" t="s">
        <v>52</v>
      </c>
      <c r="C1280" s="106">
        <v>3.1</v>
      </c>
      <c r="D1280" s="109">
        <v>0.1</v>
      </c>
      <c r="E1280" s="105" t="s">
        <v>23</v>
      </c>
      <c r="F1280" s="105" t="s">
        <v>1201</v>
      </c>
      <c r="G1280" s="105"/>
      <c r="H1280" s="105" t="s">
        <v>872</v>
      </c>
      <c r="I1280" s="105" t="s">
        <v>873</v>
      </c>
    </row>
    <row r="1281" spans="1:9" s="108" customFormat="1" ht="15.6">
      <c r="A1281" s="105" t="s">
        <v>927</v>
      </c>
      <c r="B1281" s="105" t="s">
        <v>52</v>
      </c>
      <c r="C1281" s="106">
        <f>C1280</f>
        <v>3.1</v>
      </c>
      <c r="D1281" s="109">
        <f>D1280</f>
        <v>0.1</v>
      </c>
      <c r="E1281" s="105" t="s">
        <v>23</v>
      </c>
      <c r="F1281" s="105" t="s">
        <v>1201</v>
      </c>
      <c r="G1281" s="105"/>
      <c r="H1281" s="105" t="s">
        <v>872</v>
      </c>
      <c r="I1281" s="105" t="s">
        <v>873</v>
      </c>
    </row>
    <row r="1282" spans="1:9" s="108" customFormat="1" ht="15.6">
      <c r="A1282" s="105" t="s">
        <v>928</v>
      </c>
      <c r="B1282" s="105" t="s">
        <v>52</v>
      </c>
      <c r="C1282" s="106">
        <v>2.64</v>
      </c>
      <c r="D1282" s="109">
        <v>0.1</v>
      </c>
      <c r="E1282" s="105" t="s">
        <v>23</v>
      </c>
      <c r="F1282" s="105" t="s">
        <v>1201</v>
      </c>
      <c r="G1282" s="105"/>
      <c r="H1282" s="105" t="s">
        <v>872</v>
      </c>
      <c r="I1282" s="105" t="s">
        <v>873</v>
      </c>
    </row>
    <row r="1283" spans="1:9" s="108" customFormat="1" ht="15.6">
      <c r="A1283" s="105" t="s">
        <v>929</v>
      </c>
      <c r="B1283" s="105" t="s">
        <v>52</v>
      </c>
      <c r="C1283" s="106">
        <v>1.86</v>
      </c>
      <c r="D1283" s="109">
        <v>0.05</v>
      </c>
      <c r="E1283" s="105" t="s">
        <v>23</v>
      </c>
      <c r="F1283" s="105" t="s">
        <v>1201</v>
      </c>
      <c r="G1283" s="105"/>
      <c r="H1283" s="105" t="s">
        <v>872</v>
      </c>
      <c r="I1283" s="105" t="s">
        <v>873</v>
      </c>
    </row>
    <row r="1284" spans="1:9" s="108" customFormat="1" ht="30.6">
      <c r="A1284" s="115" t="s">
        <v>1816</v>
      </c>
      <c r="B1284" s="105" t="s">
        <v>52</v>
      </c>
      <c r="C1284" s="106">
        <v>2.93</v>
      </c>
      <c r="D1284" s="109">
        <v>0.05</v>
      </c>
      <c r="E1284" s="105" t="s">
        <v>23</v>
      </c>
      <c r="F1284" s="105" t="s">
        <v>1201</v>
      </c>
      <c r="G1284" s="105"/>
      <c r="H1284" s="105" t="s">
        <v>872</v>
      </c>
      <c r="I1284" s="105" t="s">
        <v>873</v>
      </c>
    </row>
    <row r="1285" spans="1:9" s="108" customFormat="1" ht="30.6">
      <c r="A1285" s="115" t="s">
        <v>930</v>
      </c>
      <c r="B1285" s="105" t="s">
        <v>74</v>
      </c>
      <c r="C1285" s="106">
        <v>3.64</v>
      </c>
      <c r="D1285" s="109">
        <v>0.05</v>
      </c>
      <c r="E1285" s="105" t="s">
        <v>23</v>
      </c>
      <c r="F1285" s="105" t="s">
        <v>1201</v>
      </c>
      <c r="G1285" s="105"/>
      <c r="H1285" s="105" t="s">
        <v>872</v>
      </c>
      <c r="I1285" s="105" t="s">
        <v>873</v>
      </c>
    </row>
    <row r="1286" spans="1:9" s="108" customFormat="1">
      <c r="A1286" s="105" t="s">
        <v>931</v>
      </c>
      <c r="B1286" s="105" t="s">
        <v>55</v>
      </c>
      <c r="C1286" s="106">
        <v>3360</v>
      </c>
      <c r="D1286" s="107">
        <v>0.2</v>
      </c>
      <c r="E1286" s="105" t="s">
        <v>23</v>
      </c>
      <c r="F1286" s="105" t="s">
        <v>1201</v>
      </c>
      <c r="G1286" s="105"/>
      <c r="H1286" s="105" t="s">
        <v>872</v>
      </c>
      <c r="I1286" s="105" t="s">
        <v>873</v>
      </c>
    </row>
    <row r="1287" spans="1:9" s="108" customFormat="1">
      <c r="A1287" s="105" t="s">
        <v>932</v>
      </c>
      <c r="B1287" s="105" t="s">
        <v>875</v>
      </c>
      <c r="C1287" s="106">
        <v>0.378</v>
      </c>
      <c r="D1287" s="107">
        <v>0.2</v>
      </c>
      <c r="E1287" s="105" t="s">
        <v>23</v>
      </c>
      <c r="F1287" s="105" t="s">
        <v>1201</v>
      </c>
      <c r="G1287" s="105"/>
      <c r="H1287" s="105" t="s">
        <v>872</v>
      </c>
      <c r="I1287" s="105" t="s">
        <v>873</v>
      </c>
    </row>
    <row r="1288" spans="1:9" s="108" customFormat="1">
      <c r="A1288" s="105" t="s">
        <v>933</v>
      </c>
      <c r="B1288" s="105" t="s">
        <v>55</v>
      </c>
      <c r="C1288" s="106">
        <f>C1289*36</f>
        <v>7200</v>
      </c>
      <c r="D1288" s="107">
        <v>0.2</v>
      </c>
      <c r="E1288" s="105" t="s">
        <v>23</v>
      </c>
      <c r="F1288" s="105" t="s">
        <v>167</v>
      </c>
      <c r="G1288" s="105"/>
      <c r="H1288" s="105" t="s">
        <v>872</v>
      </c>
      <c r="I1288" s="105" t="s">
        <v>873</v>
      </c>
    </row>
    <row r="1289" spans="1:9" s="108" customFormat="1">
      <c r="A1289" s="105" t="s">
        <v>1817</v>
      </c>
      <c r="B1289" s="105" t="s">
        <v>1792</v>
      </c>
      <c r="C1289" s="106">
        <v>200</v>
      </c>
      <c r="D1289" s="107">
        <v>0.05</v>
      </c>
      <c r="E1289" s="105" t="s">
        <v>23</v>
      </c>
      <c r="F1289" s="105" t="s">
        <v>1201</v>
      </c>
      <c r="G1289" s="105"/>
      <c r="H1289" s="105" t="s">
        <v>872</v>
      </c>
      <c r="I1289" s="105" t="s">
        <v>873</v>
      </c>
    </row>
    <row r="1290" spans="1:9" s="108" customFormat="1">
      <c r="A1290" s="105" t="s">
        <v>934</v>
      </c>
      <c r="B1290" s="105" t="s">
        <v>875</v>
      </c>
      <c r="C1290" s="106">
        <v>0.72199999999999998</v>
      </c>
      <c r="D1290" s="107">
        <v>0.05</v>
      </c>
      <c r="E1290" s="105" t="s">
        <v>23</v>
      </c>
      <c r="F1290" s="105" t="s">
        <v>1201</v>
      </c>
      <c r="G1290" s="105"/>
      <c r="H1290" s="105" t="s">
        <v>872</v>
      </c>
      <c r="I1290" s="105" t="s">
        <v>873</v>
      </c>
    </row>
    <row r="1291" spans="1:9">
      <c r="A1291" s="17" t="s">
        <v>935</v>
      </c>
      <c r="B1291" s="17" t="s">
        <v>55</v>
      </c>
      <c r="C1291" s="58">
        <v>284.59534883720931</v>
      </c>
      <c r="D1291" s="57">
        <v>0.2</v>
      </c>
      <c r="E1291" s="17" t="s">
        <v>23</v>
      </c>
      <c r="F1291" s="17" t="s">
        <v>167</v>
      </c>
      <c r="G1291" s="17"/>
      <c r="H1291" s="17" t="s">
        <v>872</v>
      </c>
      <c r="I1291" s="17" t="s">
        <v>873</v>
      </c>
    </row>
    <row r="1292" spans="1:9">
      <c r="A1292" s="17" t="s">
        <v>936</v>
      </c>
      <c r="B1292" s="17" t="s">
        <v>875</v>
      </c>
      <c r="C1292" s="58">
        <v>0.28630435040000002</v>
      </c>
      <c r="D1292" s="57">
        <v>0.2</v>
      </c>
      <c r="E1292" s="17" t="s">
        <v>23</v>
      </c>
      <c r="F1292" s="17" t="s">
        <v>167</v>
      </c>
      <c r="G1292" s="17"/>
      <c r="H1292" s="17" t="s">
        <v>872</v>
      </c>
      <c r="I1292" s="17" t="s">
        <v>873</v>
      </c>
    </row>
    <row r="1293" spans="1:9">
      <c r="A1293" s="17" t="s">
        <v>937</v>
      </c>
      <c r="B1293" s="17" t="s">
        <v>55</v>
      </c>
      <c r="C1293" s="58">
        <v>284.59534883720931</v>
      </c>
      <c r="D1293" s="57">
        <v>0.2</v>
      </c>
      <c r="E1293" s="17" t="s">
        <v>23</v>
      </c>
      <c r="F1293" s="17" t="s">
        <v>167</v>
      </c>
      <c r="G1293" s="17"/>
      <c r="H1293" s="17" t="s">
        <v>872</v>
      </c>
      <c r="I1293" s="17" t="s">
        <v>873</v>
      </c>
    </row>
    <row r="1294" spans="1:9">
      <c r="A1294" s="17" t="s">
        <v>938</v>
      </c>
      <c r="B1294" s="17" t="s">
        <v>875</v>
      </c>
      <c r="C1294" s="58">
        <v>0.28630435040000002</v>
      </c>
      <c r="D1294" s="57">
        <v>0.2</v>
      </c>
      <c r="E1294" s="17" t="s">
        <v>23</v>
      </c>
      <c r="F1294" s="17" t="s">
        <v>167</v>
      </c>
      <c r="G1294" s="17"/>
      <c r="H1294" s="17" t="s">
        <v>872</v>
      </c>
      <c r="I1294" s="17" t="s">
        <v>873</v>
      </c>
    </row>
    <row r="1295" spans="1:9" s="108" customFormat="1">
      <c r="A1295" s="105" t="s">
        <v>939</v>
      </c>
      <c r="B1295" s="105" t="s">
        <v>55</v>
      </c>
      <c r="C1295" s="106">
        <v>3830</v>
      </c>
      <c r="D1295" s="107">
        <v>0.05</v>
      </c>
      <c r="E1295" s="105" t="s">
        <v>23</v>
      </c>
      <c r="F1295" s="105" t="s">
        <v>1201</v>
      </c>
      <c r="G1295" s="105"/>
      <c r="H1295" s="105" t="s">
        <v>872</v>
      </c>
      <c r="I1295" s="105" t="s">
        <v>873</v>
      </c>
    </row>
    <row r="1296" spans="1:9" s="108" customFormat="1">
      <c r="A1296" s="105" t="s">
        <v>940</v>
      </c>
      <c r="B1296" s="105" t="s">
        <v>875</v>
      </c>
      <c r="C1296" s="106">
        <v>0.313</v>
      </c>
      <c r="D1296" s="107">
        <v>0.05</v>
      </c>
      <c r="E1296" s="105" t="s">
        <v>23</v>
      </c>
      <c r="F1296" s="105" t="s">
        <v>1201</v>
      </c>
      <c r="G1296" s="105"/>
      <c r="H1296" s="105" t="s">
        <v>872</v>
      </c>
      <c r="I1296" s="105" t="s">
        <v>873</v>
      </c>
    </row>
    <row r="1297" spans="1:9" s="108" customFormat="1">
      <c r="A1297" s="105" t="s">
        <v>941</v>
      </c>
      <c r="B1297" s="105" t="s">
        <v>52</v>
      </c>
      <c r="C1297" s="106">
        <v>3.08</v>
      </c>
      <c r="D1297" s="107">
        <v>0.05</v>
      </c>
      <c r="E1297" s="105" t="s">
        <v>23</v>
      </c>
      <c r="F1297" s="105" t="s">
        <v>1201</v>
      </c>
      <c r="G1297" s="105"/>
      <c r="H1297" s="105" t="s">
        <v>872</v>
      </c>
      <c r="I1297" s="105" t="s">
        <v>873</v>
      </c>
    </row>
    <row r="1298" spans="1:9" s="108" customFormat="1" ht="30.6">
      <c r="A1298" s="115" t="s">
        <v>942</v>
      </c>
      <c r="B1298" s="105" t="s">
        <v>74</v>
      </c>
      <c r="C1298" s="106">
        <v>3.85</v>
      </c>
      <c r="D1298" s="109">
        <v>0.05</v>
      </c>
      <c r="E1298" s="105" t="s">
        <v>23</v>
      </c>
      <c r="F1298" s="105" t="s">
        <v>1201</v>
      </c>
      <c r="G1298" s="105"/>
      <c r="H1298" s="105" t="s">
        <v>872</v>
      </c>
      <c r="I1298" s="105" t="s">
        <v>873</v>
      </c>
    </row>
    <row r="1299" spans="1:9" s="108" customFormat="1">
      <c r="A1299" s="105" t="s">
        <v>943</v>
      </c>
      <c r="B1299" s="105" t="s">
        <v>55</v>
      </c>
      <c r="C1299" s="106">
        <v>1870</v>
      </c>
      <c r="D1299" s="107">
        <v>0.2</v>
      </c>
      <c r="E1299" s="105" t="s">
        <v>23</v>
      </c>
      <c r="F1299" s="105" t="s">
        <v>1201</v>
      </c>
      <c r="G1299" s="105"/>
      <c r="H1299" s="105" t="s">
        <v>872</v>
      </c>
      <c r="I1299" s="105" t="s">
        <v>873</v>
      </c>
    </row>
    <row r="1300" spans="1:9" s="108" customFormat="1">
      <c r="A1300" s="105" t="s">
        <v>944</v>
      </c>
      <c r="B1300" s="105" t="s">
        <v>875</v>
      </c>
      <c r="C1300" s="106">
        <v>0.39600000000000002</v>
      </c>
      <c r="D1300" s="107">
        <v>0.2</v>
      </c>
      <c r="E1300" s="105" t="s">
        <v>23</v>
      </c>
      <c r="F1300" s="105" t="s">
        <v>1201</v>
      </c>
      <c r="G1300" s="105"/>
      <c r="H1300" s="105" t="s">
        <v>872</v>
      </c>
      <c r="I1300" s="105" t="s">
        <v>873</v>
      </c>
    </row>
    <row r="1301" spans="1:9" ht="15.6">
      <c r="A1301" s="17" t="s">
        <v>945</v>
      </c>
      <c r="B1301" s="17" t="s">
        <v>52</v>
      </c>
      <c r="C1301" s="58">
        <v>2.9462085</v>
      </c>
      <c r="D1301" s="59">
        <v>0.3</v>
      </c>
      <c r="E1301" s="17" t="s">
        <v>23</v>
      </c>
      <c r="F1301" s="58" t="s">
        <v>179</v>
      </c>
      <c r="G1301" s="17"/>
      <c r="H1301" s="17" t="s">
        <v>872</v>
      </c>
      <c r="I1301" s="17" t="s">
        <v>873</v>
      </c>
    </row>
    <row r="1302" spans="1:9" s="108" customFormat="1" ht="30.6">
      <c r="A1302" s="115" t="s">
        <v>1818</v>
      </c>
      <c r="B1302" s="105" t="s">
        <v>52</v>
      </c>
      <c r="C1302" s="106">
        <v>3.05</v>
      </c>
      <c r="D1302" s="109">
        <v>0.05</v>
      </c>
      <c r="E1302" s="105" t="s">
        <v>23</v>
      </c>
      <c r="F1302" s="105" t="s">
        <v>1201</v>
      </c>
      <c r="G1302" s="105"/>
      <c r="H1302" s="105" t="s">
        <v>872</v>
      </c>
      <c r="I1302" s="105" t="s">
        <v>873</v>
      </c>
    </row>
    <row r="1303" spans="1:9" s="108" customFormat="1" ht="30.6">
      <c r="A1303" s="115" t="s">
        <v>946</v>
      </c>
      <c r="B1303" s="105" t="s">
        <v>74</v>
      </c>
      <c r="C1303" s="106">
        <v>3.85</v>
      </c>
      <c r="D1303" s="109">
        <v>0.05</v>
      </c>
      <c r="E1303" s="105" t="s">
        <v>23</v>
      </c>
      <c r="F1303" s="105" t="s">
        <v>1201</v>
      </c>
      <c r="G1303" s="105"/>
      <c r="H1303" s="105" t="s">
        <v>872</v>
      </c>
      <c r="I1303" s="105" t="s">
        <v>873</v>
      </c>
    </row>
    <row r="1304" spans="1:9" s="108" customFormat="1">
      <c r="A1304" s="105" t="s">
        <v>947</v>
      </c>
      <c r="B1304" s="105" t="s">
        <v>52</v>
      </c>
      <c r="C1304" s="106">
        <f>60%*C1278+40%*C1239</f>
        <v>2.9039999999999999</v>
      </c>
      <c r="D1304" s="107">
        <v>0.05</v>
      </c>
      <c r="E1304" s="105" t="s">
        <v>23</v>
      </c>
      <c r="F1304" s="105" t="s">
        <v>948</v>
      </c>
      <c r="G1304" s="105" t="s">
        <v>1819</v>
      </c>
      <c r="H1304" s="105" t="s">
        <v>872</v>
      </c>
      <c r="I1304" s="105" t="s">
        <v>873</v>
      </c>
    </row>
    <row r="1305" spans="1:9" s="108" customFormat="1">
      <c r="A1305" s="105" t="s">
        <v>949</v>
      </c>
      <c r="B1305" s="105" t="s">
        <v>52</v>
      </c>
      <c r="C1305" s="106">
        <f>60%*C1197+40%*C1206</f>
        <v>0.94520000000000004</v>
      </c>
      <c r="D1305" s="107">
        <v>0.05</v>
      </c>
      <c r="E1305" s="105" t="s">
        <v>23</v>
      </c>
      <c r="F1305" s="105" t="s">
        <v>948</v>
      </c>
      <c r="G1305" s="105"/>
      <c r="H1305" s="105" t="s">
        <v>872</v>
      </c>
      <c r="I1305" s="105" t="s">
        <v>873</v>
      </c>
    </row>
    <row r="1306" spans="1:9" s="108" customFormat="1">
      <c r="A1306" s="105" t="s">
        <v>950</v>
      </c>
      <c r="B1306" s="105" t="s">
        <v>55</v>
      </c>
      <c r="C1306" s="106">
        <v>3710</v>
      </c>
      <c r="D1306" s="107">
        <v>0.05</v>
      </c>
      <c r="E1306" s="105" t="s">
        <v>23</v>
      </c>
      <c r="F1306" s="105" t="s">
        <v>1201</v>
      </c>
      <c r="G1306" s="105"/>
      <c r="H1306" s="105" t="s">
        <v>872</v>
      </c>
      <c r="I1306" s="105" t="s">
        <v>873</v>
      </c>
    </row>
    <row r="1307" spans="1:9" s="108" customFormat="1">
      <c r="A1307" s="105" t="s">
        <v>951</v>
      </c>
      <c r="B1307" s="105" t="s">
        <v>875</v>
      </c>
      <c r="C1307" s="106">
        <v>0.30299999999999999</v>
      </c>
      <c r="D1307" s="107">
        <v>0.05</v>
      </c>
      <c r="E1307" s="105" t="s">
        <v>23</v>
      </c>
      <c r="F1307" s="105" t="s">
        <v>1201</v>
      </c>
      <c r="G1307" s="105"/>
      <c r="H1307" s="105" t="s">
        <v>872</v>
      </c>
      <c r="I1307" s="105" t="s">
        <v>873</v>
      </c>
    </row>
    <row r="1308" spans="1:9" s="108" customFormat="1">
      <c r="A1308" s="105" t="s">
        <v>952</v>
      </c>
      <c r="B1308" s="105" t="s">
        <v>55</v>
      </c>
      <c r="C1308" s="106">
        <v>169</v>
      </c>
      <c r="D1308" s="107">
        <v>0.5</v>
      </c>
      <c r="E1308" s="105" t="s">
        <v>23</v>
      </c>
      <c r="F1308" s="105" t="s">
        <v>1201</v>
      </c>
      <c r="G1308" s="105"/>
      <c r="H1308" s="105" t="s">
        <v>872</v>
      </c>
      <c r="I1308" s="105" t="s">
        <v>873</v>
      </c>
    </row>
    <row r="1309" spans="1:9" s="108" customFormat="1">
      <c r="A1309" s="105" t="s">
        <v>953</v>
      </c>
      <c r="B1309" s="105" t="s">
        <v>875</v>
      </c>
      <c r="C1309" s="106">
        <v>5.1333333333333335E-2</v>
      </c>
      <c r="D1309" s="107">
        <v>0.5</v>
      </c>
      <c r="E1309" s="105" t="s">
        <v>23</v>
      </c>
      <c r="F1309" s="105" t="s">
        <v>1201</v>
      </c>
      <c r="G1309" s="105"/>
      <c r="H1309" s="105" t="s">
        <v>872</v>
      </c>
      <c r="I1309" s="105" t="s">
        <v>873</v>
      </c>
    </row>
    <row r="1310" spans="1:9">
      <c r="A1310" s="17" t="s">
        <v>954</v>
      </c>
      <c r="B1310" s="17" t="s">
        <v>52</v>
      </c>
      <c r="C1310" s="58">
        <v>0.3666666666666667</v>
      </c>
      <c r="D1310" s="57">
        <v>0.1</v>
      </c>
      <c r="E1310" s="17" t="s">
        <v>23</v>
      </c>
      <c r="F1310" s="17" t="s">
        <v>167</v>
      </c>
      <c r="G1310" s="17"/>
      <c r="H1310" s="17" t="s">
        <v>872</v>
      </c>
      <c r="I1310" s="17" t="s">
        <v>873</v>
      </c>
    </row>
    <row r="1311" spans="1:9" s="108" customFormat="1" ht="15.6">
      <c r="A1311" s="105" t="s">
        <v>1820</v>
      </c>
      <c r="B1311" s="105" t="s">
        <v>1792</v>
      </c>
      <c r="C1311" s="106">
        <v>79.7</v>
      </c>
      <c r="D1311" s="109">
        <v>0.05</v>
      </c>
      <c r="E1311" s="105" t="s">
        <v>23</v>
      </c>
      <c r="F1311" s="105" t="s">
        <v>1201</v>
      </c>
      <c r="G1311" s="105"/>
      <c r="H1311" s="105" t="s">
        <v>872</v>
      </c>
      <c r="I1311" s="105" t="s">
        <v>873</v>
      </c>
    </row>
    <row r="1312" spans="1:9" s="108" customFormat="1" ht="15.6">
      <c r="A1312" s="105" t="s">
        <v>1821</v>
      </c>
      <c r="B1312" s="105" t="s">
        <v>74</v>
      </c>
      <c r="C1312" s="106">
        <v>3.34</v>
      </c>
      <c r="D1312" s="109">
        <v>0.05</v>
      </c>
      <c r="E1312" s="105" t="s">
        <v>23</v>
      </c>
      <c r="F1312" s="105" t="s">
        <v>1201</v>
      </c>
      <c r="G1312" s="105"/>
      <c r="H1312" s="105" t="s">
        <v>872</v>
      </c>
      <c r="I1312" s="105" t="s">
        <v>873</v>
      </c>
    </row>
    <row r="1313" spans="1:9" s="108" customFormat="1">
      <c r="A1313" s="105" t="s">
        <v>1822</v>
      </c>
      <c r="B1313" s="105" t="s">
        <v>55</v>
      </c>
      <c r="C1313" s="106">
        <v>88.9</v>
      </c>
      <c r="D1313" s="107">
        <v>0.5</v>
      </c>
      <c r="E1313" s="105" t="s">
        <v>23</v>
      </c>
      <c r="F1313" s="105" t="s">
        <v>1201</v>
      </c>
      <c r="G1313" s="105"/>
      <c r="H1313" s="105" t="s">
        <v>872</v>
      </c>
      <c r="I1313" s="105" t="s">
        <v>873</v>
      </c>
    </row>
    <row r="1314" spans="1:9" s="108" customFormat="1">
      <c r="A1314" s="105" t="s">
        <v>1823</v>
      </c>
      <c r="B1314" s="105" t="s">
        <v>875</v>
      </c>
      <c r="C1314" s="106">
        <v>2.4400000000000002E-2</v>
      </c>
      <c r="D1314" s="107">
        <v>0.5</v>
      </c>
      <c r="E1314" s="105" t="s">
        <v>23</v>
      </c>
      <c r="F1314" s="105" t="s">
        <v>1201</v>
      </c>
      <c r="G1314" s="105"/>
      <c r="H1314" s="105" t="s">
        <v>872</v>
      </c>
      <c r="I1314" s="105" t="s">
        <v>873</v>
      </c>
    </row>
    <row r="1315" spans="1:9">
      <c r="A1315" s="17" t="s">
        <v>955</v>
      </c>
      <c r="B1315" s="17" t="s">
        <v>55</v>
      </c>
      <c r="C1315" s="58">
        <v>48.4</v>
      </c>
      <c r="D1315" s="57">
        <v>0.1</v>
      </c>
      <c r="E1315" s="17" t="s">
        <v>23</v>
      </c>
      <c r="F1315" s="17" t="s">
        <v>167</v>
      </c>
      <c r="G1315" s="17"/>
      <c r="H1315" s="17" t="s">
        <v>872</v>
      </c>
      <c r="I1315" s="17" t="s">
        <v>873</v>
      </c>
    </row>
    <row r="1316" spans="1:9">
      <c r="A1316" s="17" t="s">
        <v>956</v>
      </c>
      <c r="B1316" s="17" t="s">
        <v>875</v>
      </c>
      <c r="C1316" s="58">
        <v>1.4666666666666666E-2</v>
      </c>
      <c r="D1316" s="57">
        <v>0.1</v>
      </c>
      <c r="E1316" s="17" t="s">
        <v>23</v>
      </c>
      <c r="F1316" s="17" t="s">
        <v>167</v>
      </c>
      <c r="G1316" s="17"/>
      <c r="H1316" s="17" t="s">
        <v>872</v>
      </c>
      <c r="I1316" s="17" t="s">
        <v>873</v>
      </c>
    </row>
    <row r="1317" spans="1:9">
      <c r="A1317" s="17" t="s">
        <v>957</v>
      </c>
      <c r="B1317" s="17" t="s">
        <v>52</v>
      </c>
      <c r="C1317" s="58">
        <v>0.3666666666666667</v>
      </c>
      <c r="D1317" s="57">
        <v>0.1</v>
      </c>
      <c r="E1317" s="17" t="s">
        <v>23</v>
      </c>
      <c r="F1317" s="17" t="s">
        <v>167</v>
      </c>
      <c r="G1317" s="17"/>
      <c r="H1317" s="17" t="s">
        <v>872</v>
      </c>
      <c r="I1317" s="17" t="s">
        <v>873</v>
      </c>
    </row>
    <row r="1318" spans="1:9">
      <c r="A1318" s="17" t="s">
        <v>958</v>
      </c>
      <c r="B1318" s="17" t="s">
        <v>55</v>
      </c>
      <c r="C1318" s="58">
        <v>1739.6666666666665</v>
      </c>
      <c r="D1318" s="57">
        <v>0.2</v>
      </c>
      <c r="E1318" s="17" t="s">
        <v>23</v>
      </c>
      <c r="F1318" s="17" t="s">
        <v>167</v>
      </c>
      <c r="G1318" s="17"/>
      <c r="H1318" s="17" t="s">
        <v>872</v>
      </c>
      <c r="I1318" s="17" t="s">
        <v>873</v>
      </c>
    </row>
    <row r="1319" spans="1:9">
      <c r="A1319" s="17" t="s">
        <v>959</v>
      </c>
      <c r="B1319" s="17" t="s">
        <v>875</v>
      </c>
      <c r="C1319" s="58">
        <v>0.27229565217391305</v>
      </c>
      <c r="D1319" s="57">
        <v>0.2</v>
      </c>
      <c r="E1319" s="17" t="s">
        <v>23</v>
      </c>
      <c r="F1319" s="17" t="s">
        <v>167</v>
      </c>
      <c r="G1319" s="17"/>
      <c r="H1319" s="17" t="s">
        <v>872</v>
      </c>
      <c r="I1319" s="17" t="s">
        <v>873</v>
      </c>
    </row>
    <row r="1320" spans="1:9">
      <c r="A1320" s="17" t="s">
        <v>960</v>
      </c>
      <c r="B1320" s="17" t="s">
        <v>55</v>
      </c>
      <c r="C1320" s="58">
        <v>2224.6666666666665</v>
      </c>
      <c r="D1320" s="57">
        <v>0.1</v>
      </c>
      <c r="E1320" s="17" t="s">
        <v>23</v>
      </c>
      <c r="F1320" s="17" t="s">
        <v>167</v>
      </c>
      <c r="G1320" s="17"/>
      <c r="H1320" s="17" t="s">
        <v>872</v>
      </c>
      <c r="I1320" s="17" t="s">
        <v>873</v>
      </c>
    </row>
    <row r="1321" spans="1:9">
      <c r="A1321" s="17" t="s">
        <v>961</v>
      </c>
      <c r="B1321" s="17" t="s">
        <v>875</v>
      </c>
      <c r="C1321" s="58">
        <v>0.30803076923076922</v>
      </c>
      <c r="D1321" s="57">
        <v>0.1</v>
      </c>
      <c r="E1321" s="17" t="s">
        <v>23</v>
      </c>
      <c r="F1321" s="17" t="s">
        <v>167</v>
      </c>
      <c r="G1321" s="17"/>
      <c r="H1321" s="17" t="s">
        <v>872</v>
      </c>
      <c r="I1321" s="17" t="s">
        <v>873</v>
      </c>
    </row>
    <row r="1322" spans="1:9" s="108" customFormat="1">
      <c r="A1322" s="105" t="s">
        <v>1824</v>
      </c>
      <c r="B1322" s="105" t="s">
        <v>1792</v>
      </c>
      <c r="C1322" s="106">
        <v>60.6</v>
      </c>
      <c r="D1322" s="107">
        <v>0.2</v>
      </c>
      <c r="E1322" s="105" t="s">
        <v>23</v>
      </c>
      <c r="F1322" s="105" t="s">
        <v>1201</v>
      </c>
      <c r="G1322" s="105"/>
      <c r="H1322" s="105" t="s">
        <v>872</v>
      </c>
      <c r="I1322" s="105" t="s">
        <v>873</v>
      </c>
    </row>
    <row r="1323" spans="1:9" s="108" customFormat="1" ht="15.6">
      <c r="A1323" s="105" t="s">
        <v>962</v>
      </c>
      <c r="B1323" s="105" t="s">
        <v>74</v>
      </c>
      <c r="C1323" s="106">
        <v>3.46</v>
      </c>
      <c r="D1323" s="109">
        <v>0.05</v>
      </c>
      <c r="E1323" s="105" t="s">
        <v>23</v>
      </c>
      <c r="F1323" s="105" t="s">
        <v>1201</v>
      </c>
      <c r="G1323" s="105"/>
      <c r="H1323" s="105" t="s">
        <v>872</v>
      </c>
      <c r="I1323" s="105" t="s">
        <v>873</v>
      </c>
    </row>
    <row r="1324" spans="1:9">
      <c r="A1324" s="17" t="s">
        <v>963</v>
      </c>
      <c r="B1324" s="17" t="s">
        <v>55</v>
      </c>
      <c r="C1324" s="58">
        <v>1530.5140741357077</v>
      </c>
      <c r="D1324" s="57">
        <v>0.1</v>
      </c>
      <c r="E1324" s="17" t="s">
        <v>23</v>
      </c>
      <c r="F1324" s="17" t="s">
        <v>167</v>
      </c>
      <c r="G1324" s="17"/>
      <c r="H1324" s="17" t="s">
        <v>872</v>
      </c>
      <c r="I1324" s="17" t="s">
        <v>873</v>
      </c>
    </row>
    <row r="1325" spans="1:9">
      <c r="A1325" s="17" t="s">
        <v>964</v>
      </c>
      <c r="B1325" s="17" t="s">
        <v>875</v>
      </c>
      <c r="C1325" s="58">
        <v>0.58615432626473918</v>
      </c>
      <c r="D1325" s="57">
        <v>0.1</v>
      </c>
      <c r="E1325" s="17" t="s">
        <v>23</v>
      </c>
      <c r="F1325" s="17" t="s">
        <v>167</v>
      </c>
      <c r="G1325" s="17"/>
      <c r="H1325" s="17" t="s">
        <v>872</v>
      </c>
      <c r="I1325" s="17" t="s">
        <v>873</v>
      </c>
    </row>
    <row r="1326" spans="1:9">
      <c r="A1326" s="17" t="s">
        <v>965</v>
      </c>
      <c r="B1326" s="17" t="s">
        <v>55</v>
      </c>
      <c r="C1326" s="58">
        <v>2076.5953488372093</v>
      </c>
      <c r="D1326" s="57">
        <v>0.05</v>
      </c>
      <c r="E1326" s="17" t="s">
        <v>23</v>
      </c>
      <c r="F1326" s="17" t="s">
        <v>167</v>
      </c>
      <c r="G1326" s="17"/>
      <c r="H1326" s="17" t="s">
        <v>872</v>
      </c>
      <c r="I1326" s="17" t="s">
        <v>873</v>
      </c>
    </row>
    <row r="1327" spans="1:9">
      <c r="A1327" s="17" t="s">
        <v>966</v>
      </c>
      <c r="B1327" s="17" t="s">
        <v>875</v>
      </c>
      <c r="C1327" s="58">
        <v>0.26696794453333333</v>
      </c>
      <c r="D1327" s="57">
        <v>0.05</v>
      </c>
      <c r="E1327" s="17" t="s">
        <v>23</v>
      </c>
      <c r="F1327" s="17" t="s">
        <v>167</v>
      </c>
      <c r="G1327" s="17"/>
      <c r="H1327" s="17" t="s">
        <v>872</v>
      </c>
      <c r="I1327" s="17" t="s">
        <v>873</v>
      </c>
    </row>
    <row r="1328" spans="1:9" s="108" customFormat="1">
      <c r="A1328" s="105" t="s">
        <v>967</v>
      </c>
      <c r="B1328" s="105" t="s">
        <v>55</v>
      </c>
      <c r="C1328" s="106">
        <v>1390</v>
      </c>
      <c r="D1328" s="107">
        <v>0.2</v>
      </c>
      <c r="E1328" s="105" t="s">
        <v>23</v>
      </c>
      <c r="F1328" s="105" t="s">
        <v>1201</v>
      </c>
      <c r="G1328" s="105"/>
      <c r="H1328" s="105" t="s">
        <v>872</v>
      </c>
      <c r="I1328" s="105" t="s">
        <v>873</v>
      </c>
    </row>
    <row r="1329" spans="1:9" s="108" customFormat="1">
      <c r="A1329" s="105" t="s">
        <v>968</v>
      </c>
      <c r="B1329" s="105" t="s">
        <v>875</v>
      </c>
      <c r="C1329" s="106">
        <v>0.42899999999999999</v>
      </c>
      <c r="D1329" s="107">
        <v>0.2</v>
      </c>
      <c r="E1329" s="105" t="s">
        <v>23</v>
      </c>
      <c r="F1329" s="105" t="s">
        <v>1201</v>
      </c>
      <c r="G1329" s="105"/>
      <c r="H1329" s="105" t="s">
        <v>872</v>
      </c>
      <c r="I1329" s="105" t="s">
        <v>873</v>
      </c>
    </row>
    <row r="1330" spans="1:9">
      <c r="A1330" s="17" t="s">
        <v>969</v>
      </c>
      <c r="B1330" s="17" t="s">
        <v>55</v>
      </c>
      <c r="C1330" s="58">
        <v>3343.2953488372082</v>
      </c>
      <c r="D1330" s="57">
        <v>0.05</v>
      </c>
      <c r="E1330" s="17" t="s">
        <v>23</v>
      </c>
      <c r="F1330" s="17" t="s">
        <v>167</v>
      </c>
      <c r="G1330" s="17"/>
      <c r="H1330" s="17" t="s">
        <v>872</v>
      </c>
      <c r="I1330" s="17" t="s">
        <v>873</v>
      </c>
    </row>
    <row r="1331" spans="1:9">
      <c r="A1331" s="17" t="s">
        <v>970</v>
      </c>
      <c r="B1331" s="17" t="s">
        <v>875</v>
      </c>
      <c r="C1331" s="58">
        <v>0.28729831546666668</v>
      </c>
      <c r="D1331" s="57">
        <v>0.05</v>
      </c>
      <c r="E1331" s="17" t="s">
        <v>23</v>
      </c>
      <c r="F1331" s="17" t="s">
        <v>167</v>
      </c>
      <c r="G1331" s="17"/>
      <c r="H1331" s="17" t="s">
        <v>872</v>
      </c>
      <c r="I1331" s="17" t="s">
        <v>873</v>
      </c>
    </row>
    <row r="1332" spans="1:9">
      <c r="A1332" s="17" t="s">
        <v>971</v>
      </c>
      <c r="B1332" s="17" t="s">
        <v>52</v>
      </c>
      <c r="C1332" s="58">
        <v>2.5914707080531474</v>
      </c>
      <c r="D1332" s="57">
        <v>0.05</v>
      </c>
      <c r="E1332" s="17" t="s">
        <v>23</v>
      </c>
      <c r="F1332" s="17" t="s">
        <v>167</v>
      </c>
      <c r="G1332" s="17"/>
      <c r="H1332" s="17" t="s">
        <v>872</v>
      </c>
      <c r="I1332" s="17" t="s">
        <v>873</v>
      </c>
    </row>
    <row r="1333" spans="1:9">
      <c r="A1333" s="17"/>
      <c r="B1333" s="17"/>
      <c r="C1333" s="17"/>
      <c r="D1333" s="57"/>
      <c r="E1333" s="17" t="s">
        <v>23</v>
      </c>
      <c r="F1333" s="17"/>
      <c r="G1333" s="17"/>
      <c r="H1333" s="17"/>
      <c r="I1333" s="17"/>
    </row>
    <row r="1334" spans="1:9">
      <c r="A1334" s="17" t="s">
        <v>61</v>
      </c>
      <c r="B1334" s="17"/>
      <c r="C1334" s="17"/>
      <c r="D1334" s="57"/>
      <c r="E1334" s="17" t="s">
        <v>23</v>
      </c>
      <c r="F1334" s="17"/>
      <c r="G1334" s="17"/>
      <c r="H1334" s="17"/>
      <c r="I1334" s="17"/>
    </row>
    <row r="1335" spans="1:9" s="108" customFormat="1">
      <c r="A1335" s="105" t="s">
        <v>972</v>
      </c>
      <c r="B1335" s="105" t="s">
        <v>60</v>
      </c>
      <c r="C1335" s="120">
        <v>0.13200000000000001</v>
      </c>
      <c r="D1335" s="107">
        <v>0.3</v>
      </c>
      <c r="E1335" s="105" t="s">
        <v>23</v>
      </c>
      <c r="F1335" s="105" t="s">
        <v>1201</v>
      </c>
      <c r="G1335" s="105"/>
      <c r="H1335" s="105" t="s">
        <v>872</v>
      </c>
      <c r="I1335" s="105" t="s">
        <v>973</v>
      </c>
    </row>
    <row r="1336" spans="1:9" s="108" customFormat="1">
      <c r="A1336" s="105" t="s">
        <v>974</v>
      </c>
      <c r="B1336" s="105" t="s">
        <v>60</v>
      </c>
      <c r="C1336" s="120">
        <v>4.1000000000000002E-2</v>
      </c>
      <c r="D1336" s="107">
        <v>0.3</v>
      </c>
      <c r="E1336" s="105" t="s">
        <v>23</v>
      </c>
      <c r="F1336" s="105" t="s">
        <v>1201</v>
      </c>
      <c r="G1336" s="105"/>
      <c r="H1336" s="105" t="s">
        <v>872</v>
      </c>
      <c r="I1336" s="105" t="s">
        <v>973</v>
      </c>
    </row>
    <row r="1337" spans="1:9" s="108" customFormat="1" ht="15.6">
      <c r="A1337" s="105" t="s">
        <v>975</v>
      </c>
      <c r="B1337" s="105" t="s">
        <v>60</v>
      </c>
      <c r="C1337" s="120">
        <v>0.78</v>
      </c>
      <c r="D1337" s="109">
        <v>0.15</v>
      </c>
      <c r="E1337" s="105" t="s">
        <v>23</v>
      </c>
      <c r="F1337" s="105" t="s">
        <v>1201</v>
      </c>
      <c r="G1337" s="105"/>
      <c r="H1337" s="105" t="s">
        <v>872</v>
      </c>
      <c r="I1337" s="105" t="s">
        <v>973</v>
      </c>
    </row>
    <row r="1338" spans="1:9" s="108" customFormat="1" ht="15.6">
      <c r="A1338" s="105" t="s">
        <v>976</v>
      </c>
      <c r="B1338" s="105" t="s">
        <v>60</v>
      </c>
      <c r="C1338" s="120">
        <v>0.78</v>
      </c>
      <c r="D1338" s="109">
        <v>0.15</v>
      </c>
      <c r="E1338" s="105" t="s">
        <v>23</v>
      </c>
      <c r="F1338" s="105" t="s">
        <v>1201</v>
      </c>
      <c r="G1338" s="105"/>
      <c r="H1338" s="105" t="s">
        <v>872</v>
      </c>
      <c r="I1338" s="105" t="s">
        <v>973</v>
      </c>
    </row>
    <row r="1339" spans="1:9" s="108" customFormat="1" ht="15.6">
      <c r="A1339" s="105" t="s">
        <v>977</v>
      </c>
      <c r="B1339" s="105" t="s">
        <v>60</v>
      </c>
      <c r="C1339" s="120">
        <v>0.59399999999999997</v>
      </c>
      <c r="D1339" s="109">
        <v>0.15</v>
      </c>
      <c r="E1339" s="105" t="s">
        <v>23</v>
      </c>
      <c r="F1339" s="105" t="s">
        <v>1201</v>
      </c>
      <c r="G1339" s="105"/>
      <c r="H1339" s="105" t="s">
        <v>872</v>
      </c>
      <c r="I1339" s="105" t="s">
        <v>973</v>
      </c>
    </row>
    <row r="1340" spans="1:9" s="108" customFormat="1" ht="15.6">
      <c r="A1340" s="105" t="s">
        <v>1825</v>
      </c>
      <c r="B1340" s="105" t="s">
        <v>60</v>
      </c>
      <c r="C1340" s="120">
        <v>0.42</v>
      </c>
      <c r="D1340" s="109">
        <v>0.1</v>
      </c>
      <c r="E1340" s="105" t="s">
        <v>23</v>
      </c>
      <c r="F1340" s="105" t="s">
        <v>1201</v>
      </c>
      <c r="G1340" s="105"/>
      <c r="H1340" s="105" t="s">
        <v>872</v>
      </c>
      <c r="I1340" s="105" t="s">
        <v>973</v>
      </c>
    </row>
    <row r="1341" spans="1:9" s="108" customFormat="1" ht="15.6">
      <c r="A1341" s="105" t="s">
        <v>978</v>
      </c>
      <c r="B1341" s="105" t="s">
        <v>60</v>
      </c>
      <c r="C1341" s="120">
        <v>5.9900000000000002E-2</v>
      </c>
      <c r="D1341" s="109">
        <v>0.1</v>
      </c>
      <c r="E1341" s="105" t="s">
        <v>23</v>
      </c>
      <c r="F1341" s="105" t="s">
        <v>1201</v>
      </c>
      <c r="G1341" s="105"/>
      <c r="H1341" s="105" t="s">
        <v>872</v>
      </c>
      <c r="I1341" s="105" t="s">
        <v>973</v>
      </c>
    </row>
    <row r="1342" spans="1:9" s="108" customFormat="1" ht="15.6">
      <c r="A1342" s="105" t="s">
        <v>979</v>
      </c>
      <c r="B1342" s="105" t="s">
        <v>60</v>
      </c>
      <c r="C1342" s="120">
        <v>0.70199999999999996</v>
      </c>
      <c r="D1342" s="109">
        <v>0.15</v>
      </c>
      <c r="E1342" s="105" t="s">
        <v>23</v>
      </c>
      <c r="F1342" s="105" t="s">
        <v>1201</v>
      </c>
      <c r="G1342" s="105"/>
      <c r="H1342" s="105" t="s">
        <v>872</v>
      </c>
      <c r="I1342" s="105" t="s">
        <v>973</v>
      </c>
    </row>
    <row r="1343" spans="1:9" s="108" customFormat="1" ht="15.6">
      <c r="A1343" s="105" t="s">
        <v>980</v>
      </c>
      <c r="B1343" s="105" t="s">
        <v>60</v>
      </c>
      <c r="C1343" s="120">
        <v>0.95699999999999996</v>
      </c>
      <c r="D1343" s="109">
        <v>0.15</v>
      </c>
      <c r="E1343" s="105" t="s">
        <v>23</v>
      </c>
      <c r="F1343" s="105" t="s">
        <v>1201</v>
      </c>
      <c r="G1343" s="105"/>
      <c r="H1343" s="105" t="s">
        <v>872</v>
      </c>
      <c r="I1343" s="105" t="s">
        <v>973</v>
      </c>
    </row>
    <row r="1344" spans="1:9" s="108" customFormat="1" ht="15.6">
      <c r="A1344" s="105" t="s">
        <v>981</v>
      </c>
      <c r="B1344" s="105" t="s">
        <v>60</v>
      </c>
      <c r="C1344" s="120">
        <v>0.84</v>
      </c>
      <c r="D1344" s="109">
        <v>0.15</v>
      </c>
      <c r="E1344" s="105" t="s">
        <v>23</v>
      </c>
      <c r="F1344" s="105" t="s">
        <v>1201</v>
      </c>
      <c r="G1344" s="105"/>
      <c r="H1344" s="105" t="s">
        <v>872</v>
      </c>
      <c r="I1344" s="105" t="s">
        <v>973</v>
      </c>
    </row>
    <row r="1345" spans="1:9" s="108" customFormat="1">
      <c r="A1345" s="105" t="s">
        <v>982</v>
      </c>
      <c r="B1345" s="105" t="s">
        <v>60</v>
      </c>
      <c r="C1345" s="120">
        <v>5.8700000000000002E-2</v>
      </c>
      <c r="D1345" s="107">
        <v>0.3</v>
      </c>
      <c r="E1345" s="105" t="s">
        <v>23</v>
      </c>
      <c r="F1345" s="105" t="s">
        <v>1201</v>
      </c>
      <c r="G1345" s="105"/>
      <c r="H1345" s="105" t="s">
        <v>872</v>
      </c>
      <c r="I1345" s="105" t="s">
        <v>973</v>
      </c>
    </row>
    <row r="1346" spans="1:9" s="108" customFormat="1">
      <c r="A1346" s="105" t="s">
        <v>983</v>
      </c>
      <c r="B1346" s="105" t="s">
        <v>60</v>
      </c>
      <c r="C1346" s="120">
        <v>7.2700000000000001E-2</v>
      </c>
      <c r="D1346" s="107">
        <v>0.3</v>
      </c>
      <c r="E1346" s="105" t="s">
        <v>23</v>
      </c>
      <c r="F1346" s="105" t="s">
        <v>1201</v>
      </c>
      <c r="G1346" s="105"/>
      <c r="H1346" s="105" t="s">
        <v>872</v>
      </c>
      <c r="I1346" s="105" t="s">
        <v>973</v>
      </c>
    </row>
    <row r="1347" spans="1:9" s="108" customFormat="1">
      <c r="A1347" s="105" t="s">
        <v>984</v>
      </c>
      <c r="B1347" s="105" t="s">
        <v>60</v>
      </c>
      <c r="C1347" s="120">
        <v>8.48E-2</v>
      </c>
      <c r="D1347" s="107">
        <v>0.3</v>
      </c>
      <c r="E1347" s="105" t="s">
        <v>23</v>
      </c>
      <c r="F1347" s="105" t="s">
        <v>1201</v>
      </c>
      <c r="G1347" s="105"/>
      <c r="H1347" s="105" t="s">
        <v>872</v>
      </c>
      <c r="I1347" s="105" t="s">
        <v>973</v>
      </c>
    </row>
    <row r="1348" spans="1:9" s="108" customFormat="1">
      <c r="A1348" s="105" t="s">
        <v>1826</v>
      </c>
      <c r="B1348" s="105" t="s">
        <v>60</v>
      </c>
      <c r="C1348" s="120">
        <v>6.6000000000000003E-2</v>
      </c>
      <c r="D1348" s="107"/>
      <c r="E1348" s="105" t="s">
        <v>23</v>
      </c>
      <c r="F1348" s="105" t="s">
        <v>1201</v>
      </c>
      <c r="G1348" s="105"/>
      <c r="H1348" s="105" t="s">
        <v>872</v>
      </c>
      <c r="I1348" s="105" t="s">
        <v>973</v>
      </c>
    </row>
    <row r="1349" spans="1:9" s="108" customFormat="1">
      <c r="A1349" s="105" t="s">
        <v>86</v>
      </c>
      <c r="B1349" s="105" t="s">
        <v>60</v>
      </c>
      <c r="C1349" s="120">
        <v>5.9900000000000002E-2</v>
      </c>
      <c r="D1349" s="107">
        <v>0.1</v>
      </c>
      <c r="E1349" s="105" t="s">
        <v>23</v>
      </c>
      <c r="F1349" s="105" t="s">
        <v>1201</v>
      </c>
      <c r="G1349" s="105"/>
      <c r="H1349" s="105" t="s">
        <v>872</v>
      </c>
      <c r="I1349" s="105" t="s">
        <v>973</v>
      </c>
    </row>
    <row r="1350" spans="1:9" s="108" customFormat="1">
      <c r="A1350" s="105" t="s">
        <v>1827</v>
      </c>
      <c r="B1350" s="105" t="s">
        <v>60</v>
      </c>
      <c r="C1350" s="120">
        <v>1.41E-2</v>
      </c>
      <c r="D1350" s="107">
        <v>0.5</v>
      </c>
      <c r="E1350" s="105" t="s">
        <v>23</v>
      </c>
      <c r="F1350" s="105" t="s">
        <v>1201</v>
      </c>
      <c r="G1350" s="105"/>
      <c r="H1350" s="105" t="s">
        <v>872</v>
      </c>
      <c r="I1350" s="105" t="s">
        <v>973</v>
      </c>
    </row>
    <row r="1351" spans="1:9" s="108" customFormat="1">
      <c r="A1351" s="105" t="s">
        <v>1828</v>
      </c>
      <c r="B1351" s="105" t="s">
        <v>60</v>
      </c>
      <c r="C1351" s="120">
        <v>1.5599999999999999E-2</v>
      </c>
      <c r="D1351" s="107">
        <v>0.5</v>
      </c>
      <c r="E1351" s="105" t="s">
        <v>23</v>
      </c>
      <c r="F1351" s="105" t="s">
        <v>1201</v>
      </c>
      <c r="G1351" s="105"/>
      <c r="H1351" s="105" t="s">
        <v>872</v>
      </c>
      <c r="I1351" s="105" t="s">
        <v>973</v>
      </c>
    </row>
    <row r="1352" spans="1:9">
      <c r="A1352" s="17" t="s">
        <v>985</v>
      </c>
      <c r="B1352" s="17" t="s">
        <v>60</v>
      </c>
      <c r="C1352" s="68">
        <v>0.40363636363636363</v>
      </c>
      <c r="D1352" s="57">
        <v>0.3</v>
      </c>
      <c r="E1352" s="17" t="s">
        <v>23</v>
      </c>
      <c r="F1352" s="17" t="s">
        <v>167</v>
      </c>
      <c r="G1352" s="17"/>
      <c r="H1352" s="17" t="s">
        <v>872</v>
      </c>
      <c r="I1352" s="17" t="s">
        <v>973</v>
      </c>
    </row>
    <row r="1353" spans="1:9">
      <c r="A1353" s="17" t="s">
        <v>986</v>
      </c>
      <c r="B1353" s="17" t="s">
        <v>60</v>
      </c>
      <c r="C1353" s="68">
        <v>0.60545454545454536</v>
      </c>
      <c r="D1353" s="57">
        <v>0.3</v>
      </c>
      <c r="E1353" s="17" t="s">
        <v>23</v>
      </c>
      <c r="F1353" s="17" t="s">
        <v>167</v>
      </c>
      <c r="G1353" s="17"/>
      <c r="H1353" s="17" t="s">
        <v>872</v>
      </c>
      <c r="I1353" s="17" t="s">
        <v>973</v>
      </c>
    </row>
    <row r="1354" spans="1:9">
      <c r="A1354" s="17" t="s">
        <v>987</v>
      </c>
      <c r="B1354" s="17" t="s">
        <v>60</v>
      </c>
      <c r="C1354" s="68">
        <v>0.7971818181818181</v>
      </c>
      <c r="D1354" s="57">
        <v>0.3</v>
      </c>
      <c r="E1354" s="17" t="s">
        <v>23</v>
      </c>
      <c r="F1354" s="17" t="s">
        <v>167</v>
      </c>
      <c r="G1354" s="17"/>
      <c r="H1354" s="17" t="s">
        <v>872</v>
      </c>
      <c r="I1354" s="17" t="s">
        <v>973</v>
      </c>
    </row>
    <row r="1355" spans="1:9" s="108" customFormat="1">
      <c r="A1355" s="105" t="s">
        <v>1829</v>
      </c>
      <c r="B1355" s="105" t="s">
        <v>60</v>
      </c>
      <c r="C1355" s="120">
        <v>4.3900000000000002E-2</v>
      </c>
      <c r="D1355" s="107">
        <v>0.3</v>
      </c>
      <c r="E1355" s="105" t="s">
        <v>23</v>
      </c>
      <c r="F1355" s="105" t="s">
        <v>1201</v>
      </c>
      <c r="G1355" s="105"/>
      <c r="H1355" s="105" t="s">
        <v>872</v>
      </c>
      <c r="I1355" s="105" t="s">
        <v>973</v>
      </c>
    </row>
    <row r="1356" spans="1:9" s="108" customFormat="1">
      <c r="A1356" s="105" t="s">
        <v>1830</v>
      </c>
      <c r="B1356" s="105" t="s">
        <v>60</v>
      </c>
      <c r="C1356" s="120">
        <v>3.2300000000000002E-2</v>
      </c>
      <c r="D1356" s="107">
        <v>0.3</v>
      </c>
      <c r="E1356" s="105" t="s">
        <v>23</v>
      </c>
      <c r="F1356" s="105" t="s">
        <v>1201</v>
      </c>
      <c r="G1356" s="105"/>
      <c r="H1356" s="105" t="s">
        <v>872</v>
      </c>
      <c r="I1356" s="105" t="s">
        <v>973</v>
      </c>
    </row>
    <row r="1357" spans="1:9" s="108" customFormat="1">
      <c r="A1357" s="105" t="s">
        <v>1831</v>
      </c>
      <c r="B1357" s="105" t="s">
        <v>60</v>
      </c>
      <c r="C1357" s="120">
        <v>2.52E-2</v>
      </c>
      <c r="D1357" s="107">
        <v>0.3</v>
      </c>
      <c r="E1357" s="105" t="s">
        <v>23</v>
      </c>
      <c r="F1357" s="105" t="s">
        <v>1201</v>
      </c>
      <c r="G1357" s="105"/>
      <c r="H1357" s="105" t="s">
        <v>872</v>
      </c>
      <c r="I1357" s="105" t="s">
        <v>973</v>
      </c>
    </row>
    <row r="1358" spans="1:9">
      <c r="A1358" s="17" t="s">
        <v>988</v>
      </c>
      <c r="B1358" s="17" t="s">
        <v>60</v>
      </c>
      <c r="C1358" s="68">
        <v>0.62563636363636366</v>
      </c>
      <c r="D1358" s="57">
        <v>0.3</v>
      </c>
      <c r="E1358" s="17" t="s">
        <v>23</v>
      </c>
      <c r="F1358" s="17" t="s">
        <v>167</v>
      </c>
      <c r="G1358" s="17"/>
      <c r="H1358" s="17" t="s">
        <v>872</v>
      </c>
      <c r="I1358" s="17" t="s">
        <v>973</v>
      </c>
    </row>
    <row r="1359" spans="1:9">
      <c r="A1359" s="17" t="s">
        <v>989</v>
      </c>
      <c r="B1359" s="17" t="s">
        <v>60</v>
      </c>
      <c r="C1359" s="68">
        <v>0.60545454545454536</v>
      </c>
      <c r="D1359" s="57">
        <v>0.3</v>
      </c>
      <c r="E1359" s="17" t="s">
        <v>23</v>
      </c>
      <c r="F1359" s="17" t="s">
        <v>167</v>
      </c>
      <c r="G1359" s="17"/>
      <c r="H1359" s="17" t="s">
        <v>872</v>
      </c>
      <c r="I1359" s="17" t="s">
        <v>973</v>
      </c>
    </row>
    <row r="1360" spans="1:9" s="108" customFormat="1">
      <c r="A1360" s="105" t="s">
        <v>990</v>
      </c>
      <c r="B1360" s="105" t="s">
        <v>60</v>
      </c>
      <c r="C1360" s="120">
        <v>6.0100000000000001E-2</v>
      </c>
      <c r="D1360" s="107">
        <v>0.3</v>
      </c>
      <c r="E1360" s="105" t="s">
        <v>23</v>
      </c>
      <c r="F1360" s="105" t="s">
        <v>1201</v>
      </c>
      <c r="G1360" s="105"/>
      <c r="H1360" s="105" t="s">
        <v>872</v>
      </c>
      <c r="I1360" s="105" t="s">
        <v>973</v>
      </c>
    </row>
    <row r="1361" spans="1:9">
      <c r="A1361" s="17"/>
      <c r="B1361" s="17"/>
      <c r="C1361" s="17"/>
      <c r="D1361" s="57"/>
      <c r="E1361" s="17" t="s">
        <v>23</v>
      </c>
      <c r="F1361" s="17"/>
      <c r="G1361" s="17"/>
      <c r="H1361" s="17"/>
      <c r="I1361" s="17"/>
    </row>
    <row r="1362" spans="1:9">
      <c r="A1362" s="17" t="s">
        <v>991</v>
      </c>
      <c r="B1362" s="17"/>
      <c r="C1362" s="17"/>
      <c r="D1362" s="57"/>
      <c r="E1362" s="17" t="s">
        <v>23</v>
      </c>
      <c r="F1362" s="17"/>
      <c r="G1362" s="17"/>
      <c r="H1362" s="17"/>
      <c r="I1362" s="17"/>
    </row>
    <row r="1363" spans="1:9">
      <c r="A1363" s="68" t="s">
        <v>992</v>
      </c>
      <c r="B1363" s="17" t="s">
        <v>60</v>
      </c>
      <c r="C1363" s="68">
        <v>641.66666666666663</v>
      </c>
      <c r="D1363" s="57">
        <v>0.3</v>
      </c>
      <c r="E1363" s="17" t="s">
        <v>23</v>
      </c>
      <c r="F1363" s="17" t="s">
        <v>167</v>
      </c>
      <c r="G1363" s="17"/>
      <c r="H1363" s="17" t="s">
        <v>872</v>
      </c>
      <c r="I1363" s="17" t="s">
        <v>993</v>
      </c>
    </row>
    <row r="1364" spans="1:9">
      <c r="A1364" s="68" t="s">
        <v>994</v>
      </c>
      <c r="B1364" s="17" t="s">
        <v>60</v>
      </c>
      <c r="C1364" s="68">
        <v>641.66666666666663</v>
      </c>
      <c r="D1364" s="57">
        <v>0.3</v>
      </c>
      <c r="E1364" s="17" t="s">
        <v>23</v>
      </c>
      <c r="F1364" s="17" t="s">
        <v>167</v>
      </c>
      <c r="G1364" s="17"/>
      <c r="H1364" s="17" t="s">
        <v>872</v>
      </c>
      <c r="I1364" s="17" t="s">
        <v>993</v>
      </c>
    </row>
    <row r="1365" spans="1:9">
      <c r="A1365" s="68" t="s">
        <v>995</v>
      </c>
      <c r="B1365" s="17" t="s">
        <v>60</v>
      </c>
      <c r="C1365" s="68">
        <v>641.66666666666663</v>
      </c>
      <c r="D1365" s="57">
        <v>0.3</v>
      </c>
      <c r="E1365" s="17" t="s">
        <v>23</v>
      </c>
      <c r="F1365" s="17" t="s">
        <v>167</v>
      </c>
      <c r="G1365" s="17"/>
      <c r="H1365" s="17" t="s">
        <v>872</v>
      </c>
      <c r="I1365" s="17" t="s">
        <v>993</v>
      </c>
    </row>
    <row r="1366" spans="1:9">
      <c r="A1366" s="68" t="s">
        <v>996</v>
      </c>
      <c r="B1366" s="17" t="s">
        <v>60</v>
      </c>
      <c r="C1366" s="68">
        <v>641.66666666666663</v>
      </c>
      <c r="D1366" s="57">
        <v>0.3</v>
      </c>
      <c r="E1366" s="17" t="s">
        <v>23</v>
      </c>
      <c r="F1366" s="17" t="s">
        <v>167</v>
      </c>
      <c r="G1366" s="17"/>
      <c r="H1366" s="17" t="s">
        <v>872</v>
      </c>
      <c r="I1366" s="17" t="s">
        <v>993</v>
      </c>
    </row>
    <row r="1367" spans="1:9">
      <c r="A1367" s="68" t="s">
        <v>997</v>
      </c>
      <c r="B1367" s="17" t="s">
        <v>60</v>
      </c>
      <c r="C1367" s="68">
        <v>1.0999999999999999</v>
      </c>
      <c r="D1367" s="57">
        <v>0.3</v>
      </c>
      <c r="E1367" s="17" t="s">
        <v>23</v>
      </c>
      <c r="F1367" s="17" t="s">
        <v>167</v>
      </c>
      <c r="G1367" s="17"/>
      <c r="H1367" s="17" t="s">
        <v>872</v>
      </c>
      <c r="I1367" s="17" t="s">
        <v>993</v>
      </c>
    </row>
    <row r="1368" spans="1:9">
      <c r="A1368" s="68" t="s">
        <v>998</v>
      </c>
      <c r="B1368" s="17" t="s">
        <v>60</v>
      </c>
      <c r="C1368" s="68">
        <v>1.0999999999999999</v>
      </c>
      <c r="D1368" s="57">
        <v>0.3</v>
      </c>
      <c r="E1368" s="17" t="s">
        <v>23</v>
      </c>
      <c r="F1368" s="17" t="s">
        <v>167</v>
      </c>
      <c r="G1368" s="17"/>
      <c r="H1368" s="17" t="s">
        <v>872</v>
      </c>
      <c r="I1368" s="17" t="s">
        <v>993</v>
      </c>
    </row>
    <row r="1369" spans="1:9">
      <c r="A1369" s="68" t="s">
        <v>999</v>
      </c>
      <c r="B1369" s="17" t="s">
        <v>60</v>
      </c>
      <c r="C1369" s="68">
        <v>1.0999999999999999</v>
      </c>
      <c r="D1369" s="57">
        <v>0.3</v>
      </c>
      <c r="E1369" s="17" t="s">
        <v>23</v>
      </c>
      <c r="F1369" s="17" t="s">
        <v>167</v>
      </c>
      <c r="G1369" s="17"/>
      <c r="H1369" s="17" t="s">
        <v>872</v>
      </c>
      <c r="I1369" s="17" t="s">
        <v>993</v>
      </c>
    </row>
    <row r="1370" spans="1:9">
      <c r="A1370" s="68" t="s">
        <v>1000</v>
      </c>
      <c r="B1370" s="17" t="s">
        <v>60</v>
      </c>
      <c r="C1370" s="68">
        <v>1.0999999999999999</v>
      </c>
      <c r="D1370" s="57">
        <v>0.3</v>
      </c>
      <c r="E1370" s="17" t="s">
        <v>23</v>
      </c>
      <c r="F1370" s="17" t="s">
        <v>167</v>
      </c>
      <c r="G1370" s="17"/>
      <c r="H1370" s="17" t="s">
        <v>872</v>
      </c>
      <c r="I1370" s="17" t="s">
        <v>993</v>
      </c>
    </row>
    <row r="1371" spans="1:9">
      <c r="A1371" s="68" t="s">
        <v>1001</v>
      </c>
      <c r="B1371" s="17" t="s">
        <v>60</v>
      </c>
      <c r="C1371" s="68">
        <v>1.0999999999999999</v>
      </c>
      <c r="D1371" s="57">
        <v>0.3</v>
      </c>
      <c r="E1371" s="17" t="s">
        <v>23</v>
      </c>
      <c r="F1371" s="17" t="s">
        <v>167</v>
      </c>
      <c r="G1371" s="17"/>
      <c r="H1371" s="17" t="s">
        <v>872</v>
      </c>
      <c r="I1371" s="17" t="s">
        <v>993</v>
      </c>
    </row>
    <row r="1372" spans="1:9">
      <c r="A1372" s="68" t="s">
        <v>1002</v>
      </c>
      <c r="B1372" s="17" t="s">
        <v>60</v>
      </c>
      <c r="C1372" s="68">
        <v>1.0999999999999999</v>
      </c>
      <c r="D1372" s="57">
        <v>0.3</v>
      </c>
      <c r="E1372" s="17" t="s">
        <v>23</v>
      </c>
      <c r="F1372" s="17" t="s">
        <v>167</v>
      </c>
      <c r="G1372" s="17"/>
      <c r="H1372" s="17" t="s">
        <v>872</v>
      </c>
      <c r="I1372" s="17" t="s">
        <v>993</v>
      </c>
    </row>
    <row r="1373" spans="1:9">
      <c r="A1373" s="68" t="s">
        <v>1003</v>
      </c>
      <c r="B1373" s="17" t="s">
        <v>60</v>
      </c>
      <c r="C1373" s="68">
        <v>441.09999999999997</v>
      </c>
      <c r="D1373" s="57">
        <v>0.3</v>
      </c>
      <c r="E1373" s="17" t="s">
        <v>23</v>
      </c>
      <c r="F1373" s="17" t="s">
        <v>167</v>
      </c>
      <c r="G1373" s="17"/>
      <c r="H1373" s="17" t="s">
        <v>872</v>
      </c>
      <c r="I1373" s="17" t="s">
        <v>993</v>
      </c>
    </row>
    <row r="1374" spans="1:9">
      <c r="A1374" s="68" t="s">
        <v>1004</v>
      </c>
      <c r="B1374" s="17" t="s">
        <v>60</v>
      </c>
      <c r="C1374" s="68">
        <v>441.09999999999997</v>
      </c>
      <c r="D1374" s="57">
        <v>0.3</v>
      </c>
      <c r="E1374" s="17" t="s">
        <v>23</v>
      </c>
      <c r="F1374" s="17" t="s">
        <v>167</v>
      </c>
      <c r="G1374" s="17"/>
      <c r="H1374" s="17" t="s">
        <v>872</v>
      </c>
      <c r="I1374" s="17" t="s">
        <v>993</v>
      </c>
    </row>
    <row r="1375" spans="1:9">
      <c r="A1375" s="68" t="s">
        <v>1005</v>
      </c>
      <c r="B1375" s="17" t="s">
        <v>60</v>
      </c>
      <c r="C1375" s="68">
        <v>441.09999999999997</v>
      </c>
      <c r="D1375" s="57">
        <v>0.3</v>
      </c>
      <c r="E1375" s="17" t="s">
        <v>23</v>
      </c>
      <c r="F1375" s="17" t="s">
        <v>167</v>
      </c>
      <c r="G1375" s="17"/>
      <c r="H1375" s="17" t="s">
        <v>872</v>
      </c>
      <c r="I1375" s="17" t="s">
        <v>993</v>
      </c>
    </row>
    <row r="1376" spans="1:9">
      <c r="A1376" s="68" t="s">
        <v>1006</v>
      </c>
      <c r="B1376" s="17" t="s">
        <v>60</v>
      </c>
      <c r="C1376" s="68">
        <v>441.09999999999997</v>
      </c>
      <c r="D1376" s="57">
        <v>0.3</v>
      </c>
      <c r="E1376" s="17" t="s">
        <v>23</v>
      </c>
      <c r="F1376" s="17" t="s">
        <v>167</v>
      </c>
      <c r="G1376" s="17"/>
      <c r="H1376" s="17" t="s">
        <v>872</v>
      </c>
      <c r="I1376" s="17" t="s">
        <v>993</v>
      </c>
    </row>
    <row r="1377" spans="1:9">
      <c r="A1377" s="68" t="s">
        <v>1007</v>
      </c>
      <c r="B1377" s="17" t="s">
        <v>60</v>
      </c>
      <c r="C1377" s="68">
        <v>441.09999999999997</v>
      </c>
      <c r="D1377" s="57">
        <v>0.3</v>
      </c>
      <c r="E1377" s="17" t="s">
        <v>23</v>
      </c>
      <c r="F1377" s="17" t="s">
        <v>167</v>
      </c>
      <c r="G1377" s="17"/>
      <c r="H1377" s="17" t="s">
        <v>872</v>
      </c>
      <c r="I1377" s="17" t="s">
        <v>993</v>
      </c>
    </row>
    <row r="1378" spans="1:9">
      <c r="A1378" s="68" t="s">
        <v>1008</v>
      </c>
      <c r="B1378" s="17" t="s">
        <v>60</v>
      </c>
      <c r="C1378" s="68">
        <v>441.09999999999997</v>
      </c>
      <c r="D1378" s="57">
        <v>0.3</v>
      </c>
      <c r="E1378" s="17" t="s">
        <v>23</v>
      </c>
      <c r="F1378" s="17" t="s">
        <v>167</v>
      </c>
      <c r="G1378" s="17"/>
      <c r="H1378" s="17" t="s">
        <v>872</v>
      </c>
      <c r="I1378" s="17" t="s">
        <v>993</v>
      </c>
    </row>
    <row r="1379" spans="1:9">
      <c r="A1379" s="68" t="s">
        <v>1009</v>
      </c>
      <c r="B1379" s="17" t="s">
        <v>60</v>
      </c>
      <c r="C1379" s="68">
        <v>260.7</v>
      </c>
      <c r="D1379" s="57">
        <v>0.3</v>
      </c>
      <c r="E1379" s="17" t="s">
        <v>23</v>
      </c>
      <c r="F1379" s="17" t="s">
        <v>167</v>
      </c>
      <c r="G1379" s="17"/>
      <c r="H1379" s="17" t="s">
        <v>872</v>
      </c>
      <c r="I1379" s="17" t="s">
        <v>993</v>
      </c>
    </row>
    <row r="1380" spans="1:9">
      <c r="A1380" s="68" t="s">
        <v>1010</v>
      </c>
      <c r="B1380" s="17" t="s">
        <v>60</v>
      </c>
      <c r="C1380" s="68">
        <v>260.7</v>
      </c>
      <c r="D1380" s="57">
        <v>0.3</v>
      </c>
      <c r="E1380" s="17" t="s">
        <v>23</v>
      </c>
      <c r="F1380" s="17" t="s">
        <v>167</v>
      </c>
      <c r="G1380" s="17"/>
      <c r="H1380" s="17" t="s">
        <v>872</v>
      </c>
      <c r="I1380" s="17" t="s">
        <v>993</v>
      </c>
    </row>
    <row r="1381" spans="1:9">
      <c r="A1381" s="68" t="s">
        <v>1011</v>
      </c>
      <c r="B1381" s="17" t="s">
        <v>60</v>
      </c>
      <c r="C1381" s="68">
        <v>260.7</v>
      </c>
      <c r="D1381" s="57">
        <v>0.3</v>
      </c>
      <c r="E1381" s="17" t="s">
        <v>23</v>
      </c>
      <c r="F1381" s="17" t="s">
        <v>167</v>
      </c>
      <c r="G1381" s="17"/>
      <c r="H1381" s="17" t="s">
        <v>872</v>
      </c>
      <c r="I1381" s="17" t="s">
        <v>993</v>
      </c>
    </row>
    <row r="1382" spans="1:9">
      <c r="A1382" s="68" t="s">
        <v>1012</v>
      </c>
      <c r="B1382" s="17" t="s">
        <v>60</v>
      </c>
      <c r="C1382" s="68">
        <v>260.7</v>
      </c>
      <c r="D1382" s="57">
        <v>0.3</v>
      </c>
      <c r="E1382" s="17" t="s">
        <v>23</v>
      </c>
      <c r="F1382" s="17" t="s">
        <v>167</v>
      </c>
      <c r="G1382" s="17"/>
      <c r="H1382" s="17" t="s">
        <v>872</v>
      </c>
      <c r="I1382" s="17" t="s">
        <v>993</v>
      </c>
    </row>
    <row r="1383" spans="1:9">
      <c r="A1383" s="17"/>
      <c r="B1383" s="17"/>
      <c r="C1383" s="17"/>
      <c r="D1383" s="57"/>
      <c r="E1383" s="17"/>
      <c r="F1383" s="17"/>
      <c r="G1383" s="17"/>
      <c r="H1383" s="17"/>
      <c r="I1383" s="17"/>
    </row>
    <row r="1384" spans="1:9">
      <c r="A1384" s="17"/>
      <c r="B1384" s="17"/>
      <c r="C1384" s="17"/>
      <c r="D1384" s="57"/>
      <c r="E1384" s="17"/>
      <c r="F1384" s="17"/>
      <c r="G1384" s="17"/>
      <c r="H1384" s="17"/>
      <c r="I1384" s="17"/>
    </row>
    <row r="1385" spans="1:9">
      <c r="A1385" s="17"/>
      <c r="B1385" s="17"/>
      <c r="C1385" s="17"/>
      <c r="D1385" s="57"/>
      <c r="E1385" s="17"/>
      <c r="F1385" s="17"/>
      <c r="G1385" s="17"/>
      <c r="H1385" s="17"/>
      <c r="I1385" s="17"/>
    </row>
    <row r="1386" spans="1:9">
      <c r="A1386" s="17"/>
      <c r="B1386" s="17"/>
      <c r="C1386" s="17"/>
      <c r="D1386" s="57"/>
      <c r="E1386" s="17"/>
      <c r="F1386" s="17"/>
      <c r="G1386" s="17"/>
      <c r="H1386" s="17"/>
      <c r="I1386" s="17"/>
    </row>
    <row r="1387" spans="1:9" ht="24.9" customHeight="1">
      <c r="A1387" s="51" t="s">
        <v>28</v>
      </c>
      <c r="B1387" s="55"/>
      <c r="C1387" s="55"/>
      <c r="D1387" s="56"/>
      <c r="E1387" s="55"/>
      <c r="F1387" s="55"/>
      <c r="G1387" s="55"/>
      <c r="H1387" s="55"/>
      <c r="I1387" s="55"/>
    </row>
    <row r="1388" spans="1:9">
      <c r="A1388" s="17" t="s">
        <v>37</v>
      </c>
      <c r="B1388" s="17"/>
      <c r="C1388" s="17"/>
      <c r="D1388" s="57"/>
      <c r="E1388" s="17"/>
      <c r="F1388" s="17"/>
      <c r="G1388" s="17"/>
      <c r="H1388" s="17"/>
      <c r="I1388" s="17"/>
    </row>
    <row r="1389" spans="1:9">
      <c r="A1389" s="17" t="s">
        <v>38</v>
      </c>
      <c r="B1389" s="17" t="s">
        <v>35</v>
      </c>
      <c r="C1389" s="58">
        <v>334000</v>
      </c>
      <c r="D1389" s="57">
        <v>0.5</v>
      </c>
      <c r="E1389" s="17" t="s">
        <v>28</v>
      </c>
      <c r="F1389" s="17" t="s">
        <v>1013</v>
      </c>
      <c r="G1389" s="17" t="s">
        <v>1014</v>
      </c>
      <c r="H1389" s="17" t="s">
        <v>1015</v>
      </c>
      <c r="I1389" s="17" t="s">
        <v>1016</v>
      </c>
    </row>
    <row r="1390" spans="1:9">
      <c r="A1390" s="17" t="s">
        <v>39</v>
      </c>
      <c r="B1390" s="17" t="s">
        <v>35</v>
      </c>
      <c r="C1390" s="58">
        <v>472000</v>
      </c>
      <c r="D1390" s="57">
        <v>0.5</v>
      </c>
      <c r="E1390" s="17" t="s">
        <v>28</v>
      </c>
      <c r="F1390" s="17" t="s">
        <v>1013</v>
      </c>
      <c r="G1390" s="17" t="s">
        <v>1017</v>
      </c>
      <c r="H1390" s="17" t="s">
        <v>1015</v>
      </c>
      <c r="I1390" s="17" t="s">
        <v>1016</v>
      </c>
    </row>
    <row r="1391" spans="1:9">
      <c r="A1391" s="17" t="s">
        <v>40</v>
      </c>
      <c r="B1391" s="17" t="s">
        <v>35</v>
      </c>
      <c r="C1391" s="58">
        <v>234670</v>
      </c>
      <c r="D1391" s="57">
        <v>0.5</v>
      </c>
      <c r="E1391" s="17" t="s">
        <v>28</v>
      </c>
      <c r="F1391" s="17" t="s">
        <v>1018</v>
      </c>
      <c r="G1391" s="17"/>
      <c r="H1391" s="17" t="s">
        <v>1015</v>
      </c>
      <c r="I1391" s="17" t="s">
        <v>1016</v>
      </c>
    </row>
    <row r="1392" spans="1:9">
      <c r="A1392" s="17" t="s">
        <v>41</v>
      </c>
      <c r="B1392" s="17" t="s">
        <v>35</v>
      </c>
      <c r="C1392" s="58">
        <v>282330</v>
      </c>
      <c r="D1392" s="57">
        <v>0.5</v>
      </c>
      <c r="E1392" s="17" t="s">
        <v>28</v>
      </c>
      <c r="F1392" s="17" t="s">
        <v>1019</v>
      </c>
      <c r="G1392" s="17"/>
      <c r="H1392" s="17" t="s">
        <v>1015</v>
      </c>
      <c r="I1392" s="17" t="s">
        <v>1016</v>
      </c>
    </row>
    <row r="1393" spans="1:9">
      <c r="A1393" s="17" t="s">
        <v>42</v>
      </c>
      <c r="B1393" s="17" t="s">
        <v>43</v>
      </c>
      <c r="C1393" s="58">
        <v>852</v>
      </c>
      <c r="D1393" s="57">
        <v>0.5</v>
      </c>
      <c r="E1393" s="17" t="s">
        <v>28</v>
      </c>
      <c r="F1393" s="17" t="s">
        <v>1018</v>
      </c>
      <c r="G1393" s="17"/>
      <c r="H1393" s="17" t="s">
        <v>1015</v>
      </c>
      <c r="I1393" s="17" t="s">
        <v>1016</v>
      </c>
    </row>
    <row r="1394" spans="1:9">
      <c r="A1394" s="17"/>
      <c r="B1394" s="17"/>
      <c r="C1394" s="17"/>
      <c r="D1394" s="57"/>
      <c r="E1394" s="17" t="s">
        <v>28</v>
      </c>
      <c r="F1394" s="17"/>
      <c r="G1394" s="17"/>
      <c r="H1394" s="17"/>
      <c r="I1394" s="17"/>
    </row>
    <row r="1395" spans="1:9">
      <c r="A1395" s="17" t="s">
        <v>120</v>
      </c>
      <c r="B1395" s="17"/>
      <c r="C1395" s="17"/>
      <c r="D1395" s="57"/>
      <c r="E1395" s="17" t="s">
        <v>28</v>
      </c>
      <c r="F1395" s="17"/>
      <c r="G1395" s="17"/>
      <c r="H1395" s="17"/>
      <c r="I1395" s="17"/>
    </row>
    <row r="1396" spans="1:9" s="108" customFormat="1">
      <c r="A1396" s="105" t="s">
        <v>1832</v>
      </c>
      <c r="B1396" s="105" t="s">
        <v>1024</v>
      </c>
      <c r="C1396" s="105">
        <v>-1610</v>
      </c>
      <c r="D1396" s="107">
        <v>0.7</v>
      </c>
      <c r="E1396" s="105" t="s">
        <v>28</v>
      </c>
      <c r="F1396" s="105" t="s">
        <v>1201</v>
      </c>
      <c r="G1396" s="105"/>
      <c r="H1396" s="105" t="s">
        <v>1015</v>
      </c>
      <c r="I1396" s="105" t="s">
        <v>1021</v>
      </c>
    </row>
    <row r="1397" spans="1:9" s="108" customFormat="1">
      <c r="A1397" s="105" t="s">
        <v>1833</v>
      </c>
      <c r="B1397" s="105" t="s">
        <v>35</v>
      </c>
      <c r="C1397" s="105">
        <v>190000</v>
      </c>
      <c r="D1397" s="107">
        <v>0.7</v>
      </c>
      <c r="E1397" s="105" t="s">
        <v>28</v>
      </c>
      <c r="F1397" s="105" t="s">
        <v>1201</v>
      </c>
      <c r="G1397" s="105"/>
      <c r="H1397" s="105" t="s">
        <v>1015</v>
      </c>
      <c r="I1397" s="105" t="s">
        <v>1021</v>
      </c>
    </row>
    <row r="1398" spans="1:9" s="108" customFormat="1">
      <c r="A1398" s="105" t="s">
        <v>1834</v>
      </c>
      <c r="B1398" s="105" t="s">
        <v>1024</v>
      </c>
      <c r="C1398" s="105">
        <v>-1800</v>
      </c>
      <c r="D1398" s="107">
        <v>0.7</v>
      </c>
      <c r="E1398" s="105" t="s">
        <v>28</v>
      </c>
      <c r="F1398" s="105" t="s">
        <v>1201</v>
      </c>
      <c r="G1398" s="105"/>
      <c r="H1398" s="105" t="s">
        <v>1015</v>
      </c>
      <c r="I1398" s="105" t="s">
        <v>1021</v>
      </c>
    </row>
    <row r="1399" spans="1:9" s="108" customFormat="1">
      <c r="A1399" s="105" t="s">
        <v>1835</v>
      </c>
      <c r="B1399" s="105" t="s">
        <v>35</v>
      </c>
      <c r="C1399" s="105">
        <v>0</v>
      </c>
      <c r="D1399" s="107">
        <v>0.7</v>
      </c>
      <c r="E1399" s="105" t="s">
        <v>28</v>
      </c>
      <c r="F1399" s="105" t="s">
        <v>1201</v>
      </c>
      <c r="G1399" s="105"/>
      <c r="H1399" s="105" t="s">
        <v>1015</v>
      </c>
      <c r="I1399" s="105" t="s">
        <v>1021</v>
      </c>
    </row>
    <row r="1400" spans="1:9" s="108" customFormat="1">
      <c r="A1400" s="105" t="s">
        <v>1836</v>
      </c>
      <c r="B1400" s="105" t="s">
        <v>1024</v>
      </c>
      <c r="C1400" s="105">
        <v>2750</v>
      </c>
      <c r="D1400" s="107">
        <v>0.7</v>
      </c>
      <c r="E1400" s="105" t="s">
        <v>28</v>
      </c>
      <c r="F1400" s="105" t="s">
        <v>1201</v>
      </c>
      <c r="G1400" s="105"/>
      <c r="H1400" s="105" t="s">
        <v>1015</v>
      </c>
      <c r="I1400" s="105" t="s">
        <v>1021</v>
      </c>
    </row>
    <row r="1401" spans="1:9" s="108" customFormat="1">
      <c r="A1401" s="105" t="s">
        <v>1837</v>
      </c>
      <c r="B1401" s="105" t="s">
        <v>35</v>
      </c>
      <c r="C1401" s="105">
        <v>290000</v>
      </c>
      <c r="D1401" s="107">
        <v>0.7</v>
      </c>
      <c r="E1401" s="105" t="s">
        <v>28</v>
      </c>
      <c r="F1401" s="105" t="s">
        <v>1201</v>
      </c>
      <c r="G1401" s="105"/>
      <c r="H1401" s="105" t="s">
        <v>1015</v>
      </c>
      <c r="I1401" s="105" t="s">
        <v>1021</v>
      </c>
    </row>
    <row r="1402" spans="1:9" s="108" customFormat="1">
      <c r="A1402" s="105" t="s">
        <v>1838</v>
      </c>
      <c r="B1402" s="105" t="s">
        <v>1024</v>
      </c>
      <c r="C1402" s="105">
        <v>370</v>
      </c>
      <c r="D1402" s="107">
        <v>0.7</v>
      </c>
      <c r="E1402" s="105" t="s">
        <v>28</v>
      </c>
      <c r="F1402" s="105" t="s">
        <v>1201</v>
      </c>
      <c r="G1402" s="105"/>
      <c r="H1402" s="105" t="s">
        <v>1015</v>
      </c>
      <c r="I1402" s="105" t="s">
        <v>1021</v>
      </c>
    </row>
    <row r="1403" spans="1:9" s="108" customFormat="1">
      <c r="A1403" s="105" t="s">
        <v>1839</v>
      </c>
      <c r="B1403" s="105" t="s">
        <v>35</v>
      </c>
      <c r="C1403" s="105">
        <v>0</v>
      </c>
      <c r="D1403" s="107">
        <v>0.7</v>
      </c>
      <c r="E1403" s="105" t="s">
        <v>28</v>
      </c>
      <c r="F1403" s="105" t="s">
        <v>1201</v>
      </c>
      <c r="G1403" s="105"/>
      <c r="H1403" s="105" t="s">
        <v>1015</v>
      </c>
      <c r="I1403" s="105" t="s">
        <v>1021</v>
      </c>
    </row>
    <row r="1404" spans="1:9" s="108" customFormat="1">
      <c r="A1404" s="105" t="s">
        <v>1840</v>
      </c>
      <c r="B1404" s="105" t="s">
        <v>1024</v>
      </c>
      <c r="C1404" s="105">
        <v>3480</v>
      </c>
      <c r="D1404" s="107">
        <v>0.7</v>
      </c>
      <c r="E1404" s="105" t="s">
        <v>28</v>
      </c>
      <c r="F1404" s="105" t="s">
        <v>1201</v>
      </c>
      <c r="G1404" s="105"/>
      <c r="H1404" s="105" t="s">
        <v>1015</v>
      </c>
      <c r="I1404" s="105" t="s">
        <v>1021</v>
      </c>
    </row>
    <row r="1405" spans="1:9" s="108" customFormat="1">
      <c r="A1405" s="105" t="s">
        <v>1841</v>
      </c>
      <c r="B1405" s="105" t="s">
        <v>1024</v>
      </c>
      <c r="C1405" s="105">
        <v>-370</v>
      </c>
      <c r="D1405" s="107">
        <v>0.7</v>
      </c>
      <c r="E1405" s="105" t="s">
        <v>28</v>
      </c>
      <c r="F1405" s="105" t="s">
        <v>1201</v>
      </c>
      <c r="G1405" s="105"/>
      <c r="H1405" s="105" t="s">
        <v>1015</v>
      </c>
      <c r="I1405" s="105" t="s">
        <v>1021</v>
      </c>
    </row>
    <row r="1406" spans="1:9" s="108" customFormat="1">
      <c r="A1406" s="105" t="s">
        <v>1842</v>
      </c>
      <c r="B1406" s="105" t="s">
        <v>35</v>
      </c>
      <c r="C1406" s="105">
        <v>290000</v>
      </c>
      <c r="D1406" s="107">
        <v>0.7</v>
      </c>
      <c r="E1406" s="105" t="s">
        <v>28</v>
      </c>
      <c r="F1406" s="105" t="s">
        <v>1201</v>
      </c>
      <c r="G1406" s="105"/>
      <c r="H1406" s="105" t="s">
        <v>1015</v>
      </c>
      <c r="I1406" s="105" t="s">
        <v>1021</v>
      </c>
    </row>
    <row r="1407" spans="1:9" s="108" customFormat="1">
      <c r="A1407" s="105" t="s">
        <v>1843</v>
      </c>
      <c r="B1407" s="105" t="s">
        <v>35</v>
      </c>
      <c r="C1407" s="105">
        <v>0</v>
      </c>
      <c r="D1407" s="107">
        <v>0.7</v>
      </c>
      <c r="E1407" s="105" t="s">
        <v>28</v>
      </c>
      <c r="F1407" s="105" t="s">
        <v>1201</v>
      </c>
      <c r="G1407" s="105"/>
      <c r="H1407" s="105" t="s">
        <v>1015</v>
      </c>
      <c r="I1407" s="105" t="s">
        <v>1021</v>
      </c>
    </row>
    <row r="1408" spans="1:9">
      <c r="A1408" s="17" t="s">
        <v>121</v>
      </c>
      <c r="B1408" s="17" t="s">
        <v>35</v>
      </c>
      <c r="C1408" s="17">
        <v>403330</v>
      </c>
      <c r="D1408" s="57">
        <v>0.5</v>
      </c>
      <c r="E1408" s="17" t="s">
        <v>28</v>
      </c>
      <c r="F1408" s="17" t="s">
        <v>1013</v>
      </c>
      <c r="G1408" s="17" t="s">
        <v>1020</v>
      </c>
      <c r="H1408" s="17" t="s">
        <v>1015</v>
      </c>
      <c r="I1408" s="17" t="s">
        <v>1021</v>
      </c>
    </row>
    <row r="1409" spans="1:9">
      <c r="A1409" s="17" t="s">
        <v>122</v>
      </c>
      <c r="B1409" s="17" t="s">
        <v>35</v>
      </c>
      <c r="C1409" s="17">
        <v>256666.99999999997</v>
      </c>
      <c r="D1409" s="57">
        <v>0.5</v>
      </c>
      <c r="E1409" s="17" t="s">
        <v>28</v>
      </c>
      <c r="F1409" s="17" t="s">
        <v>1013</v>
      </c>
      <c r="G1409" s="17" t="s">
        <v>1020</v>
      </c>
      <c r="H1409" s="17" t="s">
        <v>1015</v>
      </c>
      <c r="I1409" s="17" t="s">
        <v>1021</v>
      </c>
    </row>
    <row r="1410" spans="1:9">
      <c r="A1410" s="17" t="s">
        <v>123</v>
      </c>
      <c r="B1410" s="17" t="s">
        <v>35</v>
      </c>
      <c r="C1410" s="17">
        <v>91667</v>
      </c>
      <c r="D1410" s="57">
        <v>0.5</v>
      </c>
      <c r="E1410" s="17" t="s">
        <v>28</v>
      </c>
      <c r="F1410" s="17" t="s">
        <v>1013</v>
      </c>
      <c r="G1410" s="17" t="s">
        <v>1020</v>
      </c>
      <c r="H1410" s="17" t="s">
        <v>1015</v>
      </c>
      <c r="I1410" s="17" t="s">
        <v>1021</v>
      </c>
    </row>
    <row r="1411" spans="1:9">
      <c r="A1411" s="17" t="s">
        <v>124</v>
      </c>
      <c r="B1411" s="17" t="s">
        <v>35</v>
      </c>
      <c r="C1411" s="17">
        <v>476667</v>
      </c>
      <c r="D1411" s="57">
        <v>0.5</v>
      </c>
      <c r="E1411" s="17" t="s">
        <v>28</v>
      </c>
      <c r="F1411" s="17" t="s">
        <v>1013</v>
      </c>
      <c r="G1411" s="17" t="s">
        <v>1020</v>
      </c>
      <c r="H1411" s="17" t="s">
        <v>1015</v>
      </c>
      <c r="I1411" s="17" t="s">
        <v>1021</v>
      </c>
    </row>
    <row r="1412" spans="1:9">
      <c r="A1412" s="17" t="s">
        <v>125</v>
      </c>
      <c r="B1412" s="17" t="s">
        <v>35</v>
      </c>
      <c r="C1412" s="17">
        <v>843333</v>
      </c>
      <c r="D1412" s="57">
        <v>0.5</v>
      </c>
      <c r="E1412" s="17" t="s">
        <v>28</v>
      </c>
      <c r="F1412" s="17" t="s">
        <v>1013</v>
      </c>
      <c r="G1412" s="17" t="s">
        <v>1020</v>
      </c>
      <c r="H1412" s="17" t="s">
        <v>1015</v>
      </c>
      <c r="I1412" s="17" t="s">
        <v>1021</v>
      </c>
    </row>
    <row r="1413" spans="1:9">
      <c r="A1413" s="17"/>
      <c r="B1413" s="17"/>
      <c r="C1413" s="17"/>
      <c r="D1413" s="57"/>
      <c r="E1413" s="17"/>
      <c r="F1413" s="17"/>
      <c r="G1413" s="17"/>
      <c r="H1413" s="17"/>
      <c r="I1413" s="17"/>
    </row>
    <row r="1414" spans="1:9">
      <c r="A1414" s="67" t="s">
        <v>1022</v>
      </c>
      <c r="B1414" s="17"/>
      <c r="C1414" s="17"/>
      <c r="D1414" s="57"/>
      <c r="E1414" s="17"/>
      <c r="F1414" s="17"/>
      <c r="G1414" s="17"/>
      <c r="H1414" s="17"/>
      <c r="I1414" s="17"/>
    </row>
    <row r="1415" spans="1:9">
      <c r="A1415" s="17" t="s">
        <v>1023</v>
      </c>
      <c r="B1415" s="17" t="s">
        <v>1024</v>
      </c>
      <c r="C1415" s="17">
        <f>1000*44/12</f>
        <v>3666.6666666666665</v>
      </c>
      <c r="D1415" s="57">
        <v>0.5</v>
      </c>
      <c r="E1415" s="17" t="s">
        <v>28</v>
      </c>
      <c r="F1415" s="17" t="s">
        <v>1013</v>
      </c>
      <c r="G1415" s="17"/>
      <c r="H1415" s="17"/>
      <c r="I1415" s="17" t="s">
        <v>29</v>
      </c>
    </row>
    <row r="1416" spans="1:9">
      <c r="A1416" s="17" t="s">
        <v>1025</v>
      </c>
      <c r="B1416" s="17" t="s">
        <v>1024</v>
      </c>
      <c r="C1416" s="17">
        <f>1500*44/12</f>
        <v>5500</v>
      </c>
      <c r="D1416" s="57">
        <v>0.5</v>
      </c>
      <c r="E1416" s="17" t="s">
        <v>28</v>
      </c>
      <c r="F1416" s="17" t="s">
        <v>1013</v>
      </c>
      <c r="G1416" s="17"/>
      <c r="H1416" s="17"/>
      <c r="I1416" s="17" t="s">
        <v>29</v>
      </c>
    </row>
    <row r="1417" spans="1:9">
      <c r="A1417" s="17"/>
      <c r="B1417" s="17"/>
      <c r="C1417" s="17"/>
      <c r="D1417" s="57"/>
      <c r="E1417" s="17"/>
      <c r="F1417" s="17"/>
      <c r="G1417" s="17"/>
      <c r="H1417" s="17"/>
      <c r="I1417" s="17"/>
    </row>
    <row r="1418" spans="1:9" ht="24.9" customHeight="1">
      <c r="A1418" s="51" t="s">
        <v>27</v>
      </c>
      <c r="B1418" s="55"/>
      <c r="C1418" s="55"/>
      <c r="D1418" s="56"/>
      <c r="E1418" s="55"/>
      <c r="F1418" s="55"/>
      <c r="G1418" s="55"/>
      <c r="H1418" s="55"/>
      <c r="I1418" s="55"/>
    </row>
    <row r="1419" spans="1:9">
      <c r="A1419" s="17" t="s">
        <v>1026</v>
      </c>
      <c r="B1419" s="17"/>
      <c r="C1419" s="17"/>
      <c r="D1419" s="57"/>
      <c r="E1419" s="17" t="s">
        <v>27</v>
      </c>
      <c r="F1419" s="17"/>
      <c r="G1419" s="17"/>
      <c r="H1419" s="17"/>
      <c r="I1419" s="17"/>
    </row>
    <row r="1420" spans="1:9">
      <c r="A1420" s="17" t="s">
        <v>1027</v>
      </c>
      <c r="B1420" s="17" t="s">
        <v>55</v>
      </c>
      <c r="C1420" s="58">
        <v>18.333333333300001</v>
      </c>
      <c r="D1420" s="57">
        <v>0.5</v>
      </c>
      <c r="E1420" s="17" t="s">
        <v>27</v>
      </c>
      <c r="F1420" s="17" t="s">
        <v>643</v>
      </c>
      <c r="G1420" s="17"/>
      <c r="H1420" s="17" t="s">
        <v>27</v>
      </c>
      <c r="I1420" s="17" t="s">
        <v>1028</v>
      </c>
    </row>
    <row r="1421" spans="1:9" s="108" customFormat="1">
      <c r="A1421" s="105" t="s">
        <v>1844</v>
      </c>
      <c r="B1421" s="105" t="s">
        <v>55</v>
      </c>
      <c r="C1421" s="106">
        <v>5.44</v>
      </c>
      <c r="D1421" s="107"/>
      <c r="E1421" s="105" t="s">
        <v>27</v>
      </c>
      <c r="F1421" s="105" t="s">
        <v>1105</v>
      </c>
      <c r="G1421" s="105"/>
      <c r="H1421" s="105" t="s">
        <v>27</v>
      </c>
      <c r="I1421" s="105" t="s">
        <v>1028</v>
      </c>
    </row>
    <row r="1422" spans="1:9">
      <c r="A1422" s="17" t="s">
        <v>1029</v>
      </c>
      <c r="B1422" s="17" t="s">
        <v>55</v>
      </c>
      <c r="C1422" s="58">
        <v>14.666666666699999</v>
      </c>
      <c r="D1422" s="57">
        <v>0.5</v>
      </c>
      <c r="E1422" s="17" t="s">
        <v>27</v>
      </c>
      <c r="F1422" s="17" t="s">
        <v>643</v>
      </c>
      <c r="G1422" s="17"/>
      <c r="H1422" s="17" t="s">
        <v>27</v>
      </c>
      <c r="I1422" s="17" t="s">
        <v>1028</v>
      </c>
    </row>
    <row r="1423" spans="1:9">
      <c r="A1423" s="17" t="s">
        <v>1030</v>
      </c>
      <c r="B1423" s="17" t="s">
        <v>55</v>
      </c>
      <c r="C1423" s="58">
        <v>18.333333333300001</v>
      </c>
      <c r="D1423" s="57">
        <v>0.5</v>
      </c>
      <c r="E1423" s="17" t="s">
        <v>27</v>
      </c>
      <c r="F1423" s="17" t="s">
        <v>643</v>
      </c>
      <c r="G1423" s="17"/>
      <c r="H1423" s="17" t="s">
        <v>27</v>
      </c>
      <c r="I1423" s="17" t="s">
        <v>1028</v>
      </c>
    </row>
    <row r="1424" spans="1:9">
      <c r="A1424" s="17" t="s">
        <v>1031</v>
      </c>
      <c r="B1424" s="17" t="s">
        <v>55</v>
      </c>
      <c r="C1424" s="58">
        <v>14.666666666699999</v>
      </c>
      <c r="D1424" s="57">
        <v>0.5</v>
      </c>
      <c r="E1424" s="17" t="s">
        <v>27</v>
      </c>
      <c r="F1424" s="17" t="s">
        <v>643</v>
      </c>
      <c r="G1424" s="17"/>
      <c r="H1424" s="17" t="s">
        <v>27</v>
      </c>
      <c r="I1424" s="17" t="s">
        <v>1028</v>
      </c>
    </row>
    <row r="1425" spans="1:9">
      <c r="A1425" s="17"/>
      <c r="B1425" s="17"/>
      <c r="C1425" s="17"/>
      <c r="D1425" s="57"/>
      <c r="E1425" s="17" t="s">
        <v>27</v>
      </c>
      <c r="F1425" s="17"/>
      <c r="G1425" s="17"/>
      <c r="H1425" s="17"/>
      <c r="I1425" s="17"/>
    </row>
    <row r="1426" spans="1:9">
      <c r="A1426" s="17" t="s">
        <v>88</v>
      </c>
      <c r="B1426" s="17"/>
      <c r="C1426" s="17"/>
      <c r="D1426" s="57"/>
      <c r="E1426" s="17" t="s">
        <v>27</v>
      </c>
      <c r="F1426" s="17"/>
      <c r="G1426" s="17"/>
      <c r="H1426" s="17"/>
      <c r="I1426" s="17"/>
    </row>
    <row r="1427" spans="1:9" s="108" customFormat="1">
      <c r="A1427" s="105" t="s">
        <v>1091</v>
      </c>
      <c r="B1427" s="105" t="s">
        <v>55</v>
      </c>
      <c r="C1427" s="106">
        <v>41</v>
      </c>
      <c r="D1427" s="107">
        <v>0.2</v>
      </c>
      <c r="E1427" s="105" t="s">
        <v>27</v>
      </c>
      <c r="F1427" s="105" t="s">
        <v>1201</v>
      </c>
      <c r="G1427" s="105"/>
      <c r="H1427" s="105" t="s">
        <v>27</v>
      </c>
      <c r="I1427" s="17" t="s">
        <v>1032</v>
      </c>
    </row>
    <row r="1428" spans="1:9" s="108" customFormat="1">
      <c r="A1428" s="105" t="s">
        <v>1845</v>
      </c>
      <c r="B1428" s="105" t="s">
        <v>55</v>
      </c>
      <c r="C1428" s="106">
        <v>41</v>
      </c>
      <c r="D1428" s="107">
        <v>0.2</v>
      </c>
      <c r="E1428" s="105" t="s">
        <v>27</v>
      </c>
      <c r="F1428" s="105" t="s">
        <v>1201</v>
      </c>
      <c r="G1428" s="105"/>
      <c r="H1428" s="105" t="s">
        <v>27</v>
      </c>
      <c r="I1428" s="17" t="s">
        <v>1032</v>
      </c>
    </row>
    <row r="1429" spans="1:9" s="108" customFormat="1">
      <c r="A1429" s="105" t="s">
        <v>1035</v>
      </c>
      <c r="B1429" s="105" t="s">
        <v>55</v>
      </c>
      <c r="C1429" s="105">
        <v>950</v>
      </c>
      <c r="D1429" s="107">
        <v>0.2</v>
      </c>
      <c r="E1429" s="105" t="s">
        <v>27</v>
      </c>
      <c r="F1429" s="105" t="s">
        <v>1201</v>
      </c>
      <c r="G1429" s="105" t="s">
        <v>1846</v>
      </c>
      <c r="H1429" s="105" t="s">
        <v>27</v>
      </c>
      <c r="I1429" s="105" t="s">
        <v>1032</v>
      </c>
    </row>
    <row r="1430" spans="1:9" s="108" customFormat="1">
      <c r="A1430" s="105" t="s">
        <v>1847</v>
      </c>
      <c r="B1430" s="105" t="s">
        <v>55</v>
      </c>
      <c r="C1430" s="106">
        <v>41</v>
      </c>
      <c r="D1430" s="107">
        <v>0.2</v>
      </c>
      <c r="E1430" s="105" t="s">
        <v>27</v>
      </c>
      <c r="F1430" s="105" t="s">
        <v>1201</v>
      </c>
      <c r="G1430" s="105"/>
      <c r="H1430" s="105" t="s">
        <v>27</v>
      </c>
      <c r="I1430" s="17" t="s">
        <v>1032</v>
      </c>
    </row>
    <row r="1431" spans="1:9">
      <c r="A1431" s="17" t="s">
        <v>1038</v>
      </c>
      <c r="B1431" s="17" t="s">
        <v>55</v>
      </c>
      <c r="C1431" s="17">
        <v>558</v>
      </c>
      <c r="D1431" s="57">
        <v>0.5</v>
      </c>
      <c r="E1431" s="17" t="s">
        <v>27</v>
      </c>
      <c r="F1431" s="17" t="s">
        <v>643</v>
      </c>
      <c r="G1431" s="17" t="s">
        <v>1039</v>
      </c>
      <c r="H1431" s="17" t="s">
        <v>27</v>
      </c>
      <c r="I1431" s="17" t="s">
        <v>1032</v>
      </c>
    </row>
    <row r="1432" spans="1:9" s="108" customFormat="1">
      <c r="A1432" s="105" t="s">
        <v>175</v>
      </c>
      <c r="B1432" s="105" t="s">
        <v>55</v>
      </c>
      <c r="C1432" s="105">
        <v>41</v>
      </c>
      <c r="D1432" s="107">
        <v>0.2</v>
      </c>
      <c r="E1432" s="105" t="s">
        <v>27</v>
      </c>
      <c r="F1432" s="105" t="s">
        <v>1201</v>
      </c>
      <c r="G1432" s="105"/>
      <c r="H1432" s="105" t="s">
        <v>27</v>
      </c>
      <c r="I1432" s="105" t="s">
        <v>1032</v>
      </c>
    </row>
    <row r="1433" spans="1:9">
      <c r="A1433" s="17" t="s">
        <v>1036</v>
      </c>
      <c r="B1433" s="17" t="s">
        <v>55</v>
      </c>
      <c r="C1433" s="17">
        <v>858</v>
      </c>
      <c r="D1433" s="57">
        <v>0.5</v>
      </c>
      <c r="E1433" s="17" t="s">
        <v>27</v>
      </c>
      <c r="F1433" s="17" t="s">
        <v>643</v>
      </c>
      <c r="G1433" s="17" t="s">
        <v>1037</v>
      </c>
      <c r="H1433" s="17" t="s">
        <v>27</v>
      </c>
      <c r="I1433" s="17" t="s">
        <v>1032</v>
      </c>
    </row>
    <row r="1434" spans="1:9" s="108" customFormat="1">
      <c r="A1434" s="105" t="s">
        <v>1034</v>
      </c>
      <c r="B1434" s="105" t="s">
        <v>55</v>
      </c>
      <c r="C1434" s="105">
        <v>41</v>
      </c>
      <c r="D1434" s="107">
        <v>0.2</v>
      </c>
      <c r="E1434" s="105" t="s">
        <v>27</v>
      </c>
      <c r="F1434" s="105" t="s">
        <v>1201</v>
      </c>
      <c r="G1434" s="105"/>
      <c r="H1434" s="105" t="s">
        <v>27</v>
      </c>
      <c r="I1434" s="105" t="s">
        <v>1032</v>
      </c>
    </row>
    <row r="1435" spans="1:9" s="108" customFormat="1">
      <c r="A1435" s="105" t="s">
        <v>1848</v>
      </c>
      <c r="B1435" s="105" t="s">
        <v>55</v>
      </c>
      <c r="C1435" s="105">
        <v>27.5</v>
      </c>
      <c r="D1435" s="107"/>
      <c r="E1435" s="105" t="s">
        <v>27</v>
      </c>
      <c r="F1435" s="105" t="s">
        <v>1105</v>
      </c>
      <c r="G1435" s="105"/>
      <c r="H1435" s="105" t="s">
        <v>27</v>
      </c>
      <c r="I1435" s="105" t="s">
        <v>1032</v>
      </c>
    </row>
    <row r="1436" spans="1:9" s="108" customFormat="1">
      <c r="A1436" s="105" t="s">
        <v>1849</v>
      </c>
      <c r="B1436" s="105" t="s">
        <v>55</v>
      </c>
      <c r="C1436" s="105">
        <v>412</v>
      </c>
      <c r="D1436" s="107">
        <v>1</v>
      </c>
      <c r="E1436" s="105" t="s">
        <v>27</v>
      </c>
      <c r="F1436" s="105" t="s">
        <v>1201</v>
      </c>
      <c r="G1436" s="105" t="s">
        <v>1850</v>
      </c>
      <c r="H1436" s="105" t="s">
        <v>27</v>
      </c>
      <c r="I1436" s="105" t="s">
        <v>1032</v>
      </c>
    </row>
    <row r="1437" spans="1:9" s="108" customFormat="1">
      <c r="A1437" s="105" t="s">
        <v>89</v>
      </c>
      <c r="B1437" s="105" t="s">
        <v>55</v>
      </c>
      <c r="C1437" s="105">
        <v>41</v>
      </c>
      <c r="D1437" s="107">
        <v>0.2</v>
      </c>
      <c r="E1437" s="105" t="s">
        <v>27</v>
      </c>
      <c r="F1437" s="105" t="s">
        <v>1201</v>
      </c>
      <c r="G1437" s="105" t="s">
        <v>1033</v>
      </c>
      <c r="H1437" s="105" t="s">
        <v>27</v>
      </c>
      <c r="I1437" s="105" t="s">
        <v>1032</v>
      </c>
    </row>
    <row r="1438" spans="1:9">
      <c r="A1438" s="17"/>
      <c r="B1438" s="17"/>
      <c r="C1438" s="17"/>
      <c r="D1438" s="57"/>
      <c r="E1438" s="17" t="s">
        <v>27</v>
      </c>
      <c r="F1438" s="17"/>
      <c r="G1438" s="17"/>
      <c r="H1438" s="17"/>
      <c r="I1438" s="17"/>
    </row>
    <row r="1439" spans="1:9">
      <c r="A1439" s="17" t="s">
        <v>1042</v>
      </c>
      <c r="B1439" s="17"/>
      <c r="C1439" s="17"/>
      <c r="D1439" s="57"/>
      <c r="E1439" s="17" t="s">
        <v>27</v>
      </c>
      <c r="F1439" s="17"/>
      <c r="G1439" s="17"/>
      <c r="H1439" s="17"/>
      <c r="I1439" s="17"/>
    </row>
    <row r="1440" spans="1:9" s="108" customFormat="1">
      <c r="A1440" s="105" t="s">
        <v>1091</v>
      </c>
      <c r="B1440" s="105" t="s">
        <v>55</v>
      </c>
      <c r="C1440" s="106">
        <v>135</v>
      </c>
      <c r="D1440" s="107">
        <v>0.2</v>
      </c>
      <c r="E1440" s="105" t="s">
        <v>27</v>
      </c>
      <c r="F1440" s="105" t="s">
        <v>1201</v>
      </c>
      <c r="G1440" s="105"/>
      <c r="H1440" s="105" t="s">
        <v>27</v>
      </c>
      <c r="I1440" s="105" t="s">
        <v>1044</v>
      </c>
    </row>
    <row r="1441" spans="1:9" s="108" customFormat="1">
      <c r="A1441" s="105" t="s">
        <v>1845</v>
      </c>
      <c r="B1441" s="105" t="s">
        <v>55</v>
      </c>
      <c r="C1441" s="106">
        <v>110</v>
      </c>
      <c r="D1441" s="107">
        <v>0.2</v>
      </c>
      <c r="E1441" s="105" t="s">
        <v>27</v>
      </c>
      <c r="F1441" s="105" t="s">
        <v>1201</v>
      </c>
      <c r="G1441" s="105"/>
      <c r="H1441" s="105" t="s">
        <v>27</v>
      </c>
      <c r="I1441" s="105" t="s">
        <v>1044</v>
      </c>
    </row>
    <row r="1442" spans="1:9" s="108" customFormat="1">
      <c r="A1442" s="105" t="s">
        <v>437</v>
      </c>
      <c r="B1442" s="105" t="s">
        <v>55</v>
      </c>
      <c r="C1442" s="106">
        <v>69</v>
      </c>
      <c r="D1442" s="107">
        <v>0.2</v>
      </c>
      <c r="E1442" s="105" t="s">
        <v>27</v>
      </c>
      <c r="F1442" s="105" t="s">
        <v>1201</v>
      </c>
      <c r="G1442" s="105"/>
      <c r="H1442" s="105" t="s">
        <v>27</v>
      </c>
      <c r="I1442" s="105" t="s">
        <v>1044</v>
      </c>
    </row>
    <row r="1443" spans="1:9">
      <c r="A1443" s="17" t="s">
        <v>175</v>
      </c>
      <c r="B1443" s="17" t="s">
        <v>55</v>
      </c>
      <c r="C1443" s="58">
        <v>36.666666666600001</v>
      </c>
      <c r="D1443" s="57">
        <v>0.5</v>
      </c>
      <c r="E1443" s="17" t="s">
        <v>27</v>
      </c>
      <c r="F1443" s="17" t="s">
        <v>643</v>
      </c>
      <c r="G1443" s="17" t="s">
        <v>1043</v>
      </c>
      <c r="H1443" s="17" t="s">
        <v>27</v>
      </c>
      <c r="I1443" s="17" t="s">
        <v>1044</v>
      </c>
    </row>
    <row r="1444" spans="1:9" s="108" customFormat="1">
      <c r="A1444" s="105" t="s">
        <v>89</v>
      </c>
      <c r="B1444" s="105" t="s">
        <v>55</v>
      </c>
      <c r="C1444" s="106">
        <v>130</v>
      </c>
      <c r="D1444" s="107">
        <v>0.2</v>
      </c>
      <c r="E1444" s="105" t="s">
        <v>27</v>
      </c>
      <c r="F1444" s="105" t="s">
        <v>1201</v>
      </c>
      <c r="G1444" s="105"/>
      <c r="H1444" s="105" t="s">
        <v>27</v>
      </c>
      <c r="I1444" s="105" t="s">
        <v>1044</v>
      </c>
    </row>
    <row r="1445" spans="1:9">
      <c r="A1445" s="17" t="s">
        <v>1034</v>
      </c>
      <c r="B1445" s="17" t="s">
        <v>55</v>
      </c>
      <c r="C1445" s="58">
        <v>2681.0666666766001</v>
      </c>
      <c r="D1445" s="57">
        <v>0.2</v>
      </c>
      <c r="E1445" s="17" t="s">
        <v>27</v>
      </c>
      <c r="F1445" s="17" t="s">
        <v>643</v>
      </c>
      <c r="G1445" s="17" t="s">
        <v>1045</v>
      </c>
      <c r="H1445" s="17" t="s">
        <v>27</v>
      </c>
      <c r="I1445" s="17" t="s">
        <v>1044</v>
      </c>
    </row>
    <row r="1446" spans="1:9" s="108" customFormat="1">
      <c r="A1446" s="105" t="s">
        <v>1035</v>
      </c>
      <c r="B1446" s="105" t="s">
        <v>55</v>
      </c>
      <c r="C1446" s="106">
        <v>120</v>
      </c>
      <c r="D1446" s="107">
        <v>0.2</v>
      </c>
      <c r="E1446" s="105" t="s">
        <v>27</v>
      </c>
      <c r="F1446" s="105" t="s">
        <v>1201</v>
      </c>
      <c r="G1446" s="105"/>
      <c r="H1446" s="105" t="s">
        <v>27</v>
      </c>
      <c r="I1446" s="105" t="s">
        <v>1044</v>
      </c>
    </row>
    <row r="1447" spans="1:9">
      <c r="A1447" s="17" t="s">
        <v>1036</v>
      </c>
      <c r="B1447" s="17" t="s">
        <v>55</v>
      </c>
      <c r="C1447" s="58">
        <v>47.666666673199998</v>
      </c>
      <c r="D1447" s="57">
        <v>0.3</v>
      </c>
      <c r="E1447" s="17" t="s">
        <v>27</v>
      </c>
      <c r="F1447" s="17" t="s">
        <v>643</v>
      </c>
      <c r="G1447" s="17" t="s">
        <v>1046</v>
      </c>
      <c r="H1447" s="17" t="s">
        <v>27</v>
      </c>
      <c r="I1447" s="17" t="s">
        <v>1044</v>
      </c>
    </row>
    <row r="1448" spans="1:9">
      <c r="A1448" s="17" t="s">
        <v>1038</v>
      </c>
      <c r="B1448" s="17" t="s">
        <v>55</v>
      </c>
      <c r="C1448" s="58">
        <v>47.666666673199998</v>
      </c>
      <c r="D1448" s="57">
        <v>0.5</v>
      </c>
      <c r="E1448" s="17" t="s">
        <v>27</v>
      </c>
      <c r="F1448" s="17" t="s">
        <v>643</v>
      </c>
      <c r="G1448" s="17" t="s">
        <v>1047</v>
      </c>
      <c r="H1448" s="17" t="s">
        <v>27</v>
      </c>
      <c r="I1448" s="17" t="s">
        <v>1044</v>
      </c>
    </row>
    <row r="1449" spans="1:9" s="108" customFormat="1">
      <c r="A1449" s="105" t="s">
        <v>1040</v>
      </c>
      <c r="B1449" s="105" t="s">
        <v>55</v>
      </c>
      <c r="C1449" s="106">
        <v>374</v>
      </c>
      <c r="D1449" s="107">
        <v>0.2</v>
      </c>
      <c r="E1449" s="105" t="s">
        <v>27</v>
      </c>
      <c r="F1449" s="105" t="s">
        <v>1201</v>
      </c>
      <c r="G1449" s="105" t="s">
        <v>1851</v>
      </c>
      <c r="H1449" s="105" t="s">
        <v>27</v>
      </c>
      <c r="I1449" s="105" t="s">
        <v>1044</v>
      </c>
    </row>
    <row r="1450" spans="1:9">
      <c r="A1450" s="17" t="s">
        <v>1041</v>
      </c>
      <c r="B1450" s="17" t="s">
        <v>55</v>
      </c>
      <c r="C1450" s="58">
        <v>36.666666666600001</v>
      </c>
      <c r="D1450" s="57">
        <v>0.5</v>
      </c>
      <c r="E1450" s="17" t="s">
        <v>27</v>
      </c>
      <c r="F1450" s="17" t="s">
        <v>643</v>
      </c>
      <c r="G1450" s="17" t="s">
        <v>1043</v>
      </c>
      <c r="H1450" s="17" t="s">
        <v>27</v>
      </c>
      <c r="I1450" s="17" t="s">
        <v>1044</v>
      </c>
    </row>
    <row r="1451" spans="1:9">
      <c r="A1451" s="17"/>
      <c r="B1451" s="17"/>
      <c r="C1451" s="17"/>
      <c r="D1451" s="57"/>
      <c r="E1451" s="17" t="s">
        <v>27</v>
      </c>
      <c r="F1451" s="17"/>
      <c r="G1451" s="17"/>
      <c r="H1451" s="17"/>
      <c r="I1451" s="17"/>
    </row>
    <row r="1452" spans="1:9">
      <c r="A1452" s="17" t="s">
        <v>1048</v>
      </c>
      <c r="B1452" s="17"/>
      <c r="C1452" s="17"/>
      <c r="D1452" s="57"/>
      <c r="E1452" s="17" t="s">
        <v>27</v>
      </c>
      <c r="F1452" s="17"/>
      <c r="G1452" s="17"/>
      <c r="H1452" s="17"/>
      <c r="I1452" s="17"/>
    </row>
    <row r="1453" spans="1:9" s="108" customFormat="1">
      <c r="A1453" s="105" t="s">
        <v>1845</v>
      </c>
      <c r="B1453" s="105" t="s">
        <v>55</v>
      </c>
      <c r="C1453" s="106">
        <v>873</v>
      </c>
      <c r="D1453" s="107">
        <v>0.2</v>
      </c>
      <c r="E1453" s="105" t="s">
        <v>27</v>
      </c>
      <c r="F1453" s="105" t="s">
        <v>1201</v>
      </c>
      <c r="G1453" s="105" t="s">
        <v>1852</v>
      </c>
      <c r="H1453" s="105" t="s">
        <v>27</v>
      </c>
      <c r="I1453" s="17" t="s">
        <v>1050</v>
      </c>
    </row>
    <row r="1454" spans="1:9" s="108" customFormat="1">
      <c r="A1454" s="105" t="s">
        <v>1035</v>
      </c>
      <c r="B1454" s="105" t="s">
        <v>55</v>
      </c>
      <c r="C1454" s="105">
        <v>992</v>
      </c>
      <c r="D1454" s="107">
        <v>0.2</v>
      </c>
      <c r="E1454" s="105" t="s">
        <v>27</v>
      </c>
      <c r="F1454" s="105" t="s">
        <v>1201</v>
      </c>
      <c r="G1454" s="105" t="s">
        <v>1853</v>
      </c>
      <c r="H1454" s="105" t="s">
        <v>27</v>
      </c>
      <c r="I1454" s="105" t="s">
        <v>1050</v>
      </c>
    </row>
    <row r="1455" spans="1:9">
      <c r="A1455" s="17" t="s">
        <v>1038</v>
      </c>
      <c r="B1455" s="17" t="s">
        <v>55</v>
      </c>
      <c r="C1455" s="17">
        <v>336.29740666869202</v>
      </c>
      <c r="D1455" s="57">
        <v>0.5</v>
      </c>
      <c r="E1455" s="17" t="s">
        <v>27</v>
      </c>
      <c r="F1455" s="17" t="s">
        <v>643</v>
      </c>
      <c r="G1455" s="17" t="s">
        <v>1051</v>
      </c>
      <c r="H1455" s="17" t="s">
        <v>27</v>
      </c>
      <c r="I1455" s="17" t="s">
        <v>1050</v>
      </c>
    </row>
    <row r="1456" spans="1:9">
      <c r="A1456" s="17" t="s">
        <v>1041</v>
      </c>
      <c r="B1456" s="17" t="s">
        <v>55</v>
      </c>
      <c r="C1456" s="17">
        <v>33</v>
      </c>
      <c r="D1456" s="57">
        <v>0.5</v>
      </c>
      <c r="E1456" s="17" t="s">
        <v>27</v>
      </c>
      <c r="F1456" s="17" t="s">
        <v>643</v>
      </c>
      <c r="G1456" s="17" t="s">
        <v>1051</v>
      </c>
      <c r="H1456" s="17" t="s">
        <v>27</v>
      </c>
      <c r="I1456" s="17" t="s">
        <v>1050</v>
      </c>
    </row>
    <row r="1457" spans="1:9" s="108" customFormat="1">
      <c r="A1457" s="105" t="s">
        <v>1854</v>
      </c>
      <c r="B1457" s="105" t="s">
        <v>55</v>
      </c>
      <c r="C1457" s="106">
        <v>0</v>
      </c>
      <c r="D1457" s="107"/>
      <c r="E1457" s="105" t="s">
        <v>27</v>
      </c>
      <c r="F1457" s="105" t="s">
        <v>1105</v>
      </c>
      <c r="G1457" s="105" t="s">
        <v>1049</v>
      </c>
      <c r="H1457" s="105" t="s">
        <v>27</v>
      </c>
      <c r="I1457" s="105" t="s">
        <v>1050</v>
      </c>
    </row>
    <row r="1458" spans="1:9">
      <c r="A1458" s="17" t="s">
        <v>175</v>
      </c>
      <c r="B1458" s="17" t="s">
        <v>55</v>
      </c>
      <c r="C1458" s="58">
        <v>33</v>
      </c>
      <c r="D1458" s="57">
        <v>0.5</v>
      </c>
      <c r="E1458" s="17" t="s">
        <v>27</v>
      </c>
      <c r="F1458" s="17" t="s">
        <v>643</v>
      </c>
      <c r="G1458" s="17" t="s">
        <v>1049</v>
      </c>
      <c r="H1458" s="17" t="s">
        <v>27</v>
      </c>
      <c r="I1458" s="17" t="s">
        <v>1050</v>
      </c>
    </row>
    <row r="1459" spans="1:9">
      <c r="A1459" s="17" t="s">
        <v>1040</v>
      </c>
      <c r="B1459" s="17" t="s">
        <v>55</v>
      </c>
      <c r="C1459" s="17">
        <v>357.12912833678001</v>
      </c>
      <c r="D1459" s="57">
        <v>0.5</v>
      </c>
      <c r="E1459" s="17" t="s">
        <v>27</v>
      </c>
      <c r="F1459" s="17" t="s">
        <v>643</v>
      </c>
      <c r="G1459" s="17" t="s">
        <v>1051</v>
      </c>
      <c r="H1459" s="17" t="s">
        <v>27</v>
      </c>
      <c r="I1459" s="17" t="s">
        <v>1050</v>
      </c>
    </row>
    <row r="1460" spans="1:9">
      <c r="A1460" s="17" t="s">
        <v>1036</v>
      </c>
      <c r="B1460" s="17" t="s">
        <v>55</v>
      </c>
      <c r="C1460" s="17">
        <v>234.56223333424799</v>
      </c>
      <c r="D1460" s="57">
        <v>0.5</v>
      </c>
      <c r="E1460" s="17" t="s">
        <v>27</v>
      </c>
      <c r="F1460" s="17" t="s">
        <v>643</v>
      </c>
      <c r="G1460" s="17" t="s">
        <v>1051</v>
      </c>
      <c r="H1460" s="17" t="s">
        <v>27</v>
      </c>
      <c r="I1460" s="17" t="s">
        <v>1050</v>
      </c>
    </row>
    <row r="1461" spans="1:9" s="108" customFormat="1">
      <c r="A1461" s="105" t="s">
        <v>1855</v>
      </c>
      <c r="B1461" s="105" t="s">
        <v>55</v>
      </c>
      <c r="C1461" s="106">
        <v>434</v>
      </c>
      <c r="D1461" s="107">
        <v>0.2</v>
      </c>
      <c r="E1461" s="105" t="s">
        <v>27</v>
      </c>
      <c r="F1461" s="105" t="s">
        <v>1201</v>
      </c>
      <c r="G1461" s="105" t="s">
        <v>1856</v>
      </c>
      <c r="H1461" s="105" t="s">
        <v>27</v>
      </c>
      <c r="I1461" s="105" t="s">
        <v>1050</v>
      </c>
    </row>
    <row r="1462" spans="1:9" s="108" customFormat="1">
      <c r="A1462" s="105" t="s">
        <v>1857</v>
      </c>
      <c r="B1462" s="105" t="s">
        <v>55</v>
      </c>
      <c r="C1462" s="106">
        <v>662</v>
      </c>
      <c r="D1462" s="107">
        <v>0.2</v>
      </c>
      <c r="E1462" s="105" t="s">
        <v>27</v>
      </c>
      <c r="F1462" s="105" t="s">
        <v>1201</v>
      </c>
      <c r="G1462" s="105" t="s">
        <v>1858</v>
      </c>
      <c r="H1462" s="105" t="s">
        <v>27</v>
      </c>
      <c r="I1462" s="105" t="s">
        <v>1050</v>
      </c>
    </row>
    <row r="1463" spans="1:9" s="108" customFormat="1">
      <c r="A1463" s="105" t="s">
        <v>1859</v>
      </c>
      <c r="B1463" s="105" t="s">
        <v>55</v>
      </c>
      <c r="C1463" s="106">
        <v>434</v>
      </c>
      <c r="D1463" s="107">
        <v>0.2</v>
      </c>
      <c r="E1463" s="105" t="s">
        <v>27</v>
      </c>
      <c r="F1463" s="105" t="s">
        <v>1201</v>
      </c>
      <c r="G1463" s="105" t="s">
        <v>1860</v>
      </c>
      <c r="H1463" s="105" t="s">
        <v>27</v>
      </c>
      <c r="I1463" s="105" t="s">
        <v>1050</v>
      </c>
    </row>
    <row r="1464" spans="1:9" s="108" customFormat="1">
      <c r="A1464" s="105" t="s">
        <v>1861</v>
      </c>
      <c r="B1464" s="105" t="s">
        <v>55</v>
      </c>
      <c r="C1464" s="106">
        <v>530</v>
      </c>
      <c r="D1464" s="107">
        <v>0.2</v>
      </c>
      <c r="E1464" s="105" t="s">
        <v>27</v>
      </c>
      <c r="F1464" s="105" t="s">
        <v>1201</v>
      </c>
      <c r="G1464" s="105" t="s">
        <v>1862</v>
      </c>
      <c r="H1464" s="105" t="s">
        <v>27</v>
      </c>
      <c r="I1464" s="105" t="s">
        <v>1050</v>
      </c>
    </row>
    <row r="1465" spans="1:9" s="108" customFormat="1">
      <c r="A1465" s="105" t="s">
        <v>89</v>
      </c>
      <c r="B1465" s="105" t="s">
        <v>55</v>
      </c>
      <c r="C1465" s="106">
        <v>639</v>
      </c>
      <c r="D1465" s="107">
        <v>0.2</v>
      </c>
      <c r="E1465" s="105" t="s">
        <v>27</v>
      </c>
      <c r="F1465" s="105" t="s">
        <v>1201</v>
      </c>
      <c r="G1465" s="105" t="s">
        <v>1863</v>
      </c>
      <c r="H1465" s="105" t="s">
        <v>27</v>
      </c>
      <c r="I1465" s="105" t="s">
        <v>1050</v>
      </c>
    </row>
    <row r="1466" spans="1:9">
      <c r="A1466" s="17"/>
      <c r="B1466" s="17"/>
      <c r="C1466" s="17"/>
      <c r="D1466" s="57"/>
      <c r="E1466" s="17" t="s">
        <v>27</v>
      </c>
      <c r="F1466" s="17"/>
      <c r="G1466" s="17"/>
      <c r="H1466" s="17"/>
      <c r="I1466" s="17"/>
    </row>
    <row r="1467" spans="1:9">
      <c r="A1467" s="17" t="s">
        <v>1052</v>
      </c>
      <c r="B1467" s="17"/>
      <c r="C1467" s="17"/>
      <c r="D1467" s="57"/>
      <c r="E1467" s="17" t="s">
        <v>27</v>
      </c>
      <c r="F1467" s="17"/>
      <c r="G1467" s="17"/>
      <c r="H1467" s="17"/>
      <c r="I1467" s="17"/>
    </row>
    <row r="1468" spans="1:9" s="108" customFormat="1">
      <c r="A1468" s="105" t="s">
        <v>1864</v>
      </c>
      <c r="B1468" s="105" t="s">
        <v>55</v>
      </c>
      <c r="C1468" s="135">
        <v>127.5</v>
      </c>
      <c r="D1468" s="107">
        <v>0.5</v>
      </c>
      <c r="E1468" s="105" t="s">
        <v>27</v>
      </c>
      <c r="F1468" s="105" t="s">
        <v>1201</v>
      </c>
      <c r="G1468" s="105"/>
      <c r="H1468" s="105" t="s">
        <v>27</v>
      </c>
      <c r="I1468" s="105" t="s">
        <v>1053</v>
      </c>
    </row>
    <row r="1469" spans="1:9" s="108" customFormat="1">
      <c r="A1469" s="105" t="s">
        <v>1054</v>
      </c>
      <c r="B1469" s="105" t="s">
        <v>55</v>
      </c>
      <c r="C1469" s="135">
        <v>844</v>
      </c>
      <c r="D1469" s="107">
        <v>0.2</v>
      </c>
      <c r="E1469" s="105" t="s">
        <v>27</v>
      </c>
      <c r="F1469" s="105" t="s">
        <v>1201</v>
      </c>
      <c r="G1469" s="105"/>
      <c r="H1469" s="105" t="s">
        <v>27</v>
      </c>
      <c r="I1469" s="105" t="s">
        <v>1053</v>
      </c>
    </row>
    <row r="1470" spans="1:9" s="108" customFormat="1">
      <c r="A1470" s="105" t="s">
        <v>1055</v>
      </c>
      <c r="B1470" s="105" t="s">
        <v>55</v>
      </c>
      <c r="C1470" s="135">
        <v>9423</v>
      </c>
      <c r="D1470" s="107">
        <v>0.5</v>
      </c>
      <c r="E1470" s="105" t="s">
        <v>27</v>
      </c>
      <c r="F1470" s="105" t="s">
        <v>1201</v>
      </c>
      <c r="G1470" s="105"/>
      <c r="H1470" s="105" t="s">
        <v>27</v>
      </c>
      <c r="I1470" s="105" t="s">
        <v>1053</v>
      </c>
    </row>
    <row r="1471" spans="1:9" s="108" customFormat="1">
      <c r="A1471" s="105" t="s">
        <v>1865</v>
      </c>
      <c r="B1471" s="105" t="s">
        <v>55</v>
      </c>
      <c r="C1471" s="135">
        <v>27.5</v>
      </c>
      <c r="D1471" s="107"/>
      <c r="E1471" s="105" t="s">
        <v>27</v>
      </c>
      <c r="F1471" s="105" t="s">
        <v>1105</v>
      </c>
      <c r="G1471" s="105"/>
      <c r="H1471" s="105" t="s">
        <v>27</v>
      </c>
      <c r="I1471" s="105" t="s">
        <v>1053</v>
      </c>
    </row>
    <row r="1472" spans="1:9">
      <c r="C1472" s="71"/>
    </row>
    <row r="1473" spans="3:3">
      <c r="C1473" s="71"/>
    </row>
    <row r="1474" spans="3:3">
      <c r="C1474" s="71"/>
    </row>
    <row r="1475" spans="3:3">
      <c r="C1475" s="71"/>
    </row>
  </sheetData>
  <sheetProtection algorithmName="SHA-512" hashValue="9hMidayx65O+2S6/FO50btCmHVsrjBbDRGQEiZxar/l2XDYJEojU4jp7fsBxnLdekBbtmkspcqiru+lTtgsapw==" saltValue="T4S7DmW90PIbiMBNSCuAQg==" spinCount="100000" sheet="1" objects="1" scenarios="1" selectLockedCells="1" selectUnlockedCells="1"/>
  <dataValidations count="1">
    <dataValidation type="list" allowBlank="1" showInputMessage="1" showErrorMessage="1" sqref="A551:A552 A144" xr:uid="{92298843-CEA5-41C5-AB8C-9901B356CAD8}">
      <formula1>lisetevalFE</formula1>
    </dataValidation>
  </dataValidations>
  <hyperlinks>
    <hyperlink ref="F407" r:id="rId1" xr:uid="{BF118A7A-4C87-4131-B343-A7BD4C98C20B}"/>
    <hyperlink ref="F171" r:id="rId2" xr:uid="{FC032611-E5BE-4D69-BA41-96C6E2C99979}"/>
    <hyperlink ref="F172" r:id="rId3" xr:uid="{5501EBA1-26E5-48BE-A07C-114672C0712F}"/>
    <hyperlink ref="F165" r:id="rId4" xr:uid="{08EB7D1C-F6D1-4594-BA2B-2971073941F0}"/>
    <hyperlink ref="F164" r:id="rId5" xr:uid="{646090E9-D705-4044-820F-2D2206982251}"/>
    <hyperlink ref="F141" r:id="rId6" xr:uid="{B9C63570-236E-4DD9-9E3B-71AA9B12DA6A}"/>
    <hyperlink ref="F140" r:id="rId7" xr:uid="{633D3F8D-0E22-449F-B146-7BA0979C60D2}"/>
    <hyperlink ref="F127" r:id="rId8" xr:uid="{724F0CB9-CC33-4A92-A056-142DA4A0F5DD}"/>
    <hyperlink ref="F126" r:id="rId9" xr:uid="{DF5AC6F6-81CE-4AB0-9ED6-8E8CBB0E85D0}"/>
    <hyperlink ref="F81" r:id="rId10" xr:uid="{E49A9D43-73DF-4CBD-A6E7-4E7E80D56443}"/>
    <hyperlink ref="F77" r:id="rId11" xr:uid="{74DF5415-2921-4D56-8E75-19CF3D1A81D9}"/>
    <hyperlink ref="F76" r:id="rId12" xr:uid="{9C20F643-319E-4EF7-A39B-AB7B7C33F6C6}"/>
    <hyperlink ref="F75" r:id="rId13" xr:uid="{72C8C4B4-ABAE-40B1-A83C-2003E69C2C28}"/>
    <hyperlink ref="F79" r:id="rId14" xr:uid="{68D0A331-8EF9-445B-A0B6-AD4141E51372}"/>
    <hyperlink ref="F78" r:id="rId15" xr:uid="{92B1BBE8-5DAF-48D5-9B31-3E043D96218F}"/>
    <hyperlink ref="F71" r:id="rId16" xr:uid="{435B27DA-A14D-4797-9C87-A60223C6FA4E}"/>
    <hyperlink ref="F408" r:id="rId17" xr:uid="{23B541AF-3CDB-49FD-9C3C-D7BF515ED9C3}"/>
    <hyperlink ref="F411" r:id="rId18" xr:uid="{9EFEDB3C-D48B-483B-9852-AB129CB7BEE7}"/>
    <hyperlink ref="F440" r:id="rId19" xr:uid="{42AE23E1-950B-47F2-B561-3DD4A6D28B07}"/>
    <hyperlink ref="F441" r:id="rId20" xr:uid="{B379BAA1-7364-4E54-AAEC-47CCEB0206AD}"/>
    <hyperlink ref="F442" r:id="rId21" xr:uid="{76901847-7E65-45CF-8071-921FE8D8BC2D}"/>
    <hyperlink ref="F501" r:id="rId22" xr:uid="{215BBFE5-6472-4714-9290-3F59EA69CD8D}"/>
    <hyperlink ref="F526" r:id="rId23" xr:uid="{509B927F-5BA8-425A-8598-0A8AB1F7B902}"/>
    <hyperlink ref="F504" r:id="rId24" xr:uid="{BA0872F6-A322-49A5-9BFC-5F3B3965FB7F}"/>
    <hyperlink ref="F505" r:id="rId25" xr:uid="{7D9B5F70-E997-4350-A6DD-21E338CDAB2A}"/>
    <hyperlink ref="F515" r:id="rId26" xr:uid="{67C16946-D3B9-4C50-A665-E66E7E1A1091}"/>
    <hyperlink ref="F508" r:id="rId27" xr:uid="{A29D5B4F-1D68-495E-A1C4-64BCC64B931C}"/>
    <hyperlink ref="F509" r:id="rId28" xr:uid="{C1A2239D-E121-4174-887A-950368BBB430}"/>
    <hyperlink ref="F510" r:id="rId29" xr:uid="{14F02500-9F95-4792-B8A3-1EEC5D6190EE}"/>
    <hyperlink ref="F26:F28" r:id="rId30" display="FDES" xr:uid="{0F8A92A7-F1D0-41B9-B9DD-8E1C34C56CFB}"/>
    <hyperlink ref="F30" r:id="rId31" xr:uid="{2CD96607-A713-443B-AE9B-7E888ECCCD08}"/>
    <hyperlink ref="F31" r:id="rId32" xr:uid="{AA0A445A-B884-4231-9ACF-07166E8BF47A}"/>
    <hyperlink ref="F32" r:id="rId33" xr:uid="{06501929-70EF-444E-A05B-0FE39E1FB931}"/>
    <hyperlink ref="F33" r:id="rId34" xr:uid="{DF2BB8F5-0CEB-4EDE-842B-FBC4BB2FCC8C}"/>
    <hyperlink ref="F27" r:id="rId35" xr:uid="{EF1A4AA7-B2A4-4728-9E96-5C7C3CBBBF19}"/>
    <hyperlink ref="F29" r:id="rId36" xr:uid="{DB53A08B-5CF7-47EC-B8E9-340B13641B0A}"/>
    <hyperlink ref="F74" r:id="rId37" xr:uid="{BE49B2C8-62E4-4993-846C-E3EFE2BC95DC}"/>
  </hyperlinks>
  <pageMargins left="0.75" right="0.75" top="1" bottom="1" header="0.5" footer="0.5"/>
  <pageSetup paperSize="9" orientation="portrait" horizontalDpi="4294967292" verticalDpi="4294967292" r:id="rId3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7F817-D1E3-4991-9E58-FCF3D3AEEE08}">
  <dimension ref="B1:D34"/>
  <sheetViews>
    <sheetView workbookViewId="0">
      <selection activeCell="F36" sqref="F36:F37"/>
    </sheetView>
  </sheetViews>
  <sheetFormatPr baseColWidth="10" defaultColWidth="9.59765625" defaultRowHeight="13.8"/>
  <cols>
    <col min="1" max="1" width="9.59765625" style="136"/>
    <col min="2" max="2" width="39.3984375" style="136" bestFit="1" customWidth="1"/>
    <col min="3" max="3" width="23.59765625" style="136" bestFit="1" customWidth="1"/>
    <col min="4" max="4" width="14.8984375" style="136" bestFit="1" customWidth="1"/>
    <col min="5" max="16384" width="9.59765625" style="136"/>
  </cols>
  <sheetData>
    <row r="1" spans="2:4" ht="14.4" thickBot="1"/>
    <row r="2" spans="2:4" ht="14.4" thickBot="1">
      <c r="B2" s="229" t="s">
        <v>1867</v>
      </c>
      <c r="C2" s="230"/>
      <c r="D2" s="231"/>
    </row>
    <row r="4" spans="2:4">
      <c r="B4" s="137" t="s">
        <v>64</v>
      </c>
      <c r="C4" s="137" t="s">
        <v>1868</v>
      </c>
      <c r="D4" s="137" t="s">
        <v>1869</v>
      </c>
    </row>
    <row r="5" spans="2:4">
      <c r="B5" s="138" t="s">
        <v>1089</v>
      </c>
      <c r="C5" s="138" t="s">
        <v>1870</v>
      </c>
      <c r="D5" s="138" t="s">
        <v>1871</v>
      </c>
    </row>
    <row r="6" spans="2:4">
      <c r="B6" s="138" t="s">
        <v>1872</v>
      </c>
      <c r="C6" s="138" t="s">
        <v>1873</v>
      </c>
      <c r="D6" s="138" t="s">
        <v>1871</v>
      </c>
    </row>
    <row r="7" spans="2:4">
      <c r="B7" s="138" t="s">
        <v>1874</v>
      </c>
      <c r="C7" s="138" t="s">
        <v>1875</v>
      </c>
      <c r="D7" s="138" t="s">
        <v>1871</v>
      </c>
    </row>
    <row r="8" spans="2:4">
      <c r="B8" s="138" t="s">
        <v>1876</v>
      </c>
      <c r="C8" s="138" t="s">
        <v>1877</v>
      </c>
      <c r="D8" s="138" t="s">
        <v>1871</v>
      </c>
    </row>
    <row r="9" spans="2:4">
      <c r="B9" s="138" t="s">
        <v>1878</v>
      </c>
      <c r="C9" s="138" t="s">
        <v>1879</v>
      </c>
      <c r="D9" s="138" t="s">
        <v>1880</v>
      </c>
    </row>
    <row r="10" spans="2:4">
      <c r="B10" s="138" t="s">
        <v>1881</v>
      </c>
      <c r="C10" s="138" t="s">
        <v>1882</v>
      </c>
      <c r="D10" s="138" t="s">
        <v>1880</v>
      </c>
    </row>
    <row r="11" spans="2:4">
      <c r="B11" s="138" t="s">
        <v>1883</v>
      </c>
      <c r="C11" s="138" t="s">
        <v>1877</v>
      </c>
      <c r="D11" s="138" t="s">
        <v>655</v>
      </c>
    </row>
    <row r="12" spans="2:4">
      <c r="B12" s="138" t="s">
        <v>1884</v>
      </c>
      <c r="C12" s="138" t="s">
        <v>1885</v>
      </c>
      <c r="D12" s="138" t="s">
        <v>655</v>
      </c>
    </row>
    <row r="13" spans="2:4">
      <c r="B13" s="138" t="s">
        <v>1886</v>
      </c>
      <c r="C13" s="138" t="s">
        <v>1887</v>
      </c>
      <c r="D13" s="138" t="s">
        <v>655</v>
      </c>
    </row>
    <row r="14" spans="2:4">
      <c r="B14" s="138" t="s">
        <v>1888</v>
      </c>
      <c r="C14" s="138" t="s">
        <v>1889</v>
      </c>
      <c r="D14" s="138" t="s">
        <v>655</v>
      </c>
    </row>
    <row r="15" spans="2:4">
      <c r="B15" s="138" t="s">
        <v>1890</v>
      </c>
      <c r="C15" s="138" t="s">
        <v>1891</v>
      </c>
      <c r="D15" s="138" t="s">
        <v>655</v>
      </c>
    </row>
    <row r="16" spans="2:4">
      <c r="B16" s="138" t="s">
        <v>1845</v>
      </c>
      <c r="C16" s="138" t="s">
        <v>1892</v>
      </c>
      <c r="D16" s="138" t="s">
        <v>655</v>
      </c>
    </row>
    <row r="17" spans="2:4">
      <c r="B17" s="138" t="s">
        <v>1893</v>
      </c>
      <c r="C17" s="138" t="s">
        <v>1894</v>
      </c>
      <c r="D17" s="138" t="s">
        <v>655</v>
      </c>
    </row>
    <row r="18" spans="2:4">
      <c r="B18" s="138" t="s">
        <v>1895</v>
      </c>
      <c r="C18" s="138" t="s">
        <v>1896</v>
      </c>
      <c r="D18" s="138" t="s">
        <v>655</v>
      </c>
    </row>
    <row r="19" spans="2:4">
      <c r="B19" s="138" t="s">
        <v>1897</v>
      </c>
      <c r="C19" s="138" t="s">
        <v>1898</v>
      </c>
      <c r="D19" s="138" t="s">
        <v>655</v>
      </c>
    </row>
    <row r="20" spans="2:4">
      <c r="B20" s="138" t="s">
        <v>1899</v>
      </c>
      <c r="C20" s="138" t="s">
        <v>1900</v>
      </c>
      <c r="D20" s="138" t="s">
        <v>655</v>
      </c>
    </row>
    <row r="21" spans="2:4">
      <c r="B21" s="138" t="s">
        <v>1901</v>
      </c>
      <c r="C21" s="138" t="s">
        <v>1902</v>
      </c>
      <c r="D21" s="138" t="s">
        <v>655</v>
      </c>
    </row>
    <row r="22" spans="2:4">
      <c r="B22" s="138" t="s">
        <v>1903</v>
      </c>
      <c r="C22" s="138" t="s">
        <v>1904</v>
      </c>
      <c r="D22" s="138" t="s">
        <v>1905</v>
      </c>
    </row>
    <row r="24" spans="2:4" ht="14.4" thickBot="1"/>
    <row r="25" spans="2:4" ht="14.4" thickBot="1">
      <c r="B25" s="229" t="s">
        <v>1906</v>
      </c>
      <c r="C25" s="230"/>
      <c r="D25" s="231"/>
    </row>
    <row r="27" spans="2:4">
      <c r="B27" s="137" t="s">
        <v>1907</v>
      </c>
      <c r="C27" s="137" t="s">
        <v>1908</v>
      </c>
      <c r="D27" s="137" t="s">
        <v>1869</v>
      </c>
    </row>
    <row r="28" spans="2:4">
      <c r="B28" s="138" t="s">
        <v>1909</v>
      </c>
      <c r="C28" s="138" t="s">
        <v>1910</v>
      </c>
      <c r="D28" s="138" t="s">
        <v>1880</v>
      </c>
    </row>
    <row r="29" spans="2:4">
      <c r="B29" s="138" t="s">
        <v>1911</v>
      </c>
      <c r="C29" s="138" t="s">
        <v>1912</v>
      </c>
      <c r="D29" s="138" t="s">
        <v>1880</v>
      </c>
    </row>
    <row r="34" spans="2:3">
      <c r="B34" s="139"/>
      <c r="C34" s="140"/>
    </row>
  </sheetData>
  <mergeCells count="2">
    <mergeCell ref="B2:D2"/>
    <mergeCell ref="B25:D2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rchés SCSNE)" ma:contentTypeID="0x010100C9C475DEAE7003499C566A1290D17E2E00C1FE2BA507BE424BA0ED9BE2A3F41C8C" ma:contentTypeVersion="0" ma:contentTypeDescription="" ma:contentTypeScope="" ma:versionID="b28f081fe938d7a0a10ebb29892dbf97">
  <xsd:schema xmlns:xsd="http://www.w3.org/2001/XMLSchema" xmlns:xs="http://www.w3.org/2001/XMLSchema" xmlns:p="http://schemas.microsoft.com/office/2006/metadata/properties" xmlns:ns2="a25c9081-5a98-403d-b920-2351985ad1cf" targetNamespace="http://schemas.microsoft.com/office/2006/metadata/properties" ma:root="true" ma:fieldsID="7413bd13f9a12283650bd7f969a7535f" ns2:_="">
    <xsd:import namespace="a25c9081-5a98-403d-b920-2351985ad1cf"/>
    <xsd:element name="properties">
      <xsd:complexType>
        <xsd:sequence>
          <xsd:element name="documentManagement">
            <xsd:complexType>
              <xsd:all>
                <xsd:element ref="ns2:Titre_1" minOccurs="0"/>
                <xsd:element ref="ns2:Titre_2" minOccurs="0"/>
                <xsd:element ref="ns2:Commentaire" minOccurs="0"/>
                <xsd:element ref="ns2:Codification" minOccurs="0"/>
                <xsd:element ref="ns2:TaxCatchAllLabel" minOccurs="0"/>
                <xsd:element ref="ns2:hc5ee469f066469fb7a140bf0033ab88" minOccurs="0"/>
                <xsd:element ref="ns2:n117515a4f9d4e0fac4133ee47d2cfc1" minOccurs="0"/>
                <xsd:element ref="ns2:gd6f1129d9ff48c19f974fe67019564e" minOccurs="0"/>
                <xsd:element ref="ns2:TaxCatchAll" minOccurs="0"/>
                <xsd:element ref="ns2:Candidat" minOccurs="0"/>
                <xsd:element ref="ns2:Rédac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5c9081-5a98-403d-b920-2351985ad1cf" elementFormDefault="qualified">
    <xsd:import namespace="http://schemas.microsoft.com/office/2006/documentManagement/types"/>
    <xsd:import namespace="http://schemas.microsoft.com/office/infopath/2007/PartnerControls"/>
    <xsd:element name="Titre_1" ma:index="3" nillable="true" ma:displayName="Titre_1" ma:internalName="Titre_1">
      <xsd:simpleType>
        <xsd:restriction base="dms:Text">
          <xsd:maxLength value="255"/>
        </xsd:restriction>
      </xsd:simpleType>
    </xsd:element>
    <xsd:element name="Titre_2" ma:index="4" nillable="true" ma:displayName="Titre_2" ma:internalName="Titre_2">
      <xsd:simpleType>
        <xsd:restriction base="dms:Text">
          <xsd:maxLength value="255"/>
        </xsd:restriction>
      </xsd:simpleType>
    </xsd:element>
    <xsd:element name="Commentaire" ma:index="7" nillable="true" ma:displayName="Commentaire" ma:internalName="Commentaire" ma:readOnly="false">
      <xsd:simpleType>
        <xsd:restriction base="dms:Note">
          <xsd:maxLength value="255"/>
        </xsd:restriction>
      </xsd:simpleType>
    </xsd:element>
    <xsd:element name="Codification" ma:index="8" nillable="true" ma:displayName="Codification" ma:description="Récupère le nom codifié du document via un workflow. Colonne masquée utilisée pour être incluse dans des formules" ma:hidden="true" ma:internalName="Codification" ma:readOnly="false">
      <xsd:simpleType>
        <xsd:restriction base="dms:Text">
          <xsd:maxLength value="255"/>
        </xsd:restriction>
      </xsd:simpleType>
    </xsd:element>
    <xsd:element name="TaxCatchAllLabel" ma:index="10" nillable="true" ma:displayName="Taxonomy Catch All Column1" ma:hidden="true" ma:list="{5a5a2f30-b8c3-4689-a231-c7ab42cb02ab}" ma:internalName="TaxCatchAllLabel" ma:readOnly="true" ma:showField="CatchAllDataLabel"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hc5ee469f066469fb7a140bf0033ab88" ma:index="13" nillable="true" ma:taxonomy="true" ma:internalName="hc5ee469f066469fb7a140bf0033ab88" ma:taxonomyFieldName="Classe" ma:displayName="Classe" ma:default="2;#INF|75044a80-0361-445f-96bb-9e99c13f9bde" ma:fieldId="{1c5ee469-f066-469f-b7a1-40bf0033ab88}" ma:sspId="a344d2d3-aa92-410e-800f-eccb79307005" ma:termSetId="10617649-d70e-4270-9abe-05f8dbc1d51b" ma:anchorId="00000000-0000-0000-0000-000000000000" ma:open="false" ma:isKeyword="false">
      <xsd:complexType>
        <xsd:sequence>
          <xsd:element ref="pc:Terms" minOccurs="0" maxOccurs="1"/>
        </xsd:sequence>
      </xsd:complexType>
    </xsd:element>
    <xsd:element name="n117515a4f9d4e0fac4133ee47d2cfc1" ma:index="14" nillable="true" ma:taxonomy="true" ma:internalName="n117515a4f9d4e0fac4133ee47d2cfc1" ma:taxonomyFieldName="Confidentialit_x00e9_" ma:displayName="Confidentialité" ma:default="3;#R|6121e067-4141-4a09-83f2-731dfa9cb483" ma:fieldId="{7117515a-4f9d-4e0f-ac41-33ee47d2cfc1}" ma:sspId="a344d2d3-aa92-410e-800f-eccb79307005" ma:termSetId="c3cc67e7-a95b-4179-893d-c5d5ac11c02b" ma:anchorId="00000000-0000-0000-0000-000000000000" ma:open="false" ma:isKeyword="false">
      <xsd:complexType>
        <xsd:sequence>
          <xsd:element ref="pc:Terms" minOccurs="0" maxOccurs="1"/>
        </xsd:sequence>
      </xsd:complexType>
    </xsd:element>
    <xsd:element name="gd6f1129d9ff48c19f974fe67019564e" ma:index="16" nillable="true" ma:taxonomy="true" ma:internalName="gd6f1129d9ff48c19f974fe67019564e" ma:taxonomyFieldName="Statut" ma:displayName="Statut" ma:default="1;#IFI|3f30827e-433b-4d39-a4cd-77c4660fe051" ma:fieldId="{0d6f1129-d9ff-48c1-9f97-4fe67019564e}" ma:sspId="a344d2d3-aa92-410e-800f-eccb79307005" ma:termSetId="ec30e074-0c24-47f3-af12-71cbd3195209"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5a5a2f30-b8c3-4689-a231-c7ab42cb02ab}" ma:internalName="TaxCatchAll" ma:showField="CatchAllData"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Candidat" ma:index="21" nillable="true" ma:displayName="Candidat" ma:internalName="Candidat">
      <xsd:simpleType>
        <xsd:restriction base="dms:Text">
          <xsd:maxLength value="255"/>
        </xsd:restriction>
      </xsd:simpleType>
    </xsd:element>
    <xsd:element name="Rédacteur" ma:index="22" nillable="true" ma:displayName="Rédacteur" ma:list="UserInfo" ma:SharePointGroup="0" ma:internalName="R_x00e9_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Type de contenu"/>
        <xsd:element ref="dc:title" minOccurs="0" maxOccurs="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25c9081-5a98-403d-b920-2351985ad1cf">
      <Value>3</Value>
      <Value>2</Value>
      <Value>1</Value>
    </TaxCatchAll>
    <Titre_2 xmlns="a25c9081-5a98-403d-b920-2351985ad1cf" xsi:nil="true"/>
    <Codification xmlns="a25c9081-5a98-403d-b920-2351985ad1cf" xsi:nil="true"/>
    <gd6f1129d9ff48c19f974fe67019564e xmlns="a25c9081-5a98-403d-b920-2351985ad1cf">
      <Terms xmlns="http://schemas.microsoft.com/office/infopath/2007/PartnerControls">
        <TermInfo xmlns="http://schemas.microsoft.com/office/infopath/2007/PartnerControls">
          <TermName xmlns="http://schemas.microsoft.com/office/infopath/2007/PartnerControls">IFI</TermName>
          <TermId xmlns="http://schemas.microsoft.com/office/infopath/2007/PartnerControls">3f30827e-433b-4d39-a4cd-77c4660fe051</TermId>
        </TermInfo>
      </Terms>
    </gd6f1129d9ff48c19f974fe67019564e>
    <Candidat xmlns="a25c9081-5a98-403d-b920-2351985ad1cf" xsi:nil="true"/>
    <Commentaire xmlns="a25c9081-5a98-403d-b920-2351985ad1cf" xsi:nil="true"/>
    <Titre_1 xmlns="a25c9081-5a98-403d-b920-2351985ad1cf" xsi:nil="true"/>
    <hc5ee469f066469fb7a140bf0033ab88 xmlns="a25c9081-5a98-403d-b920-2351985ad1cf">
      <Terms xmlns="http://schemas.microsoft.com/office/infopath/2007/PartnerControls">
        <TermInfo xmlns="http://schemas.microsoft.com/office/infopath/2007/PartnerControls">
          <TermName xmlns="http://schemas.microsoft.com/office/infopath/2007/PartnerControls">INF</TermName>
          <TermId xmlns="http://schemas.microsoft.com/office/infopath/2007/PartnerControls">75044a80-0361-445f-96bb-9e99c13f9bde</TermId>
        </TermInfo>
      </Terms>
    </hc5ee469f066469fb7a140bf0033ab88>
    <Rédacteur xmlns="a25c9081-5a98-403d-b920-2351985ad1cf">
      <UserInfo>
        <DisplayName/>
        <AccountId xsi:nil="true"/>
        <AccountType/>
      </UserInfo>
    </Rédacteur>
    <n117515a4f9d4e0fac4133ee47d2cfc1 xmlns="a25c9081-5a98-403d-b920-2351985ad1cf">
      <Terms xmlns="http://schemas.microsoft.com/office/infopath/2007/PartnerControls">
        <TermInfo xmlns="http://schemas.microsoft.com/office/infopath/2007/PartnerControls">
          <TermName xmlns="http://schemas.microsoft.com/office/infopath/2007/PartnerControls">R</TermName>
          <TermId xmlns="http://schemas.microsoft.com/office/infopath/2007/PartnerControls">6121e067-4141-4a09-83f2-731dfa9cb483</TermId>
        </TermInfo>
      </Terms>
    </n117515a4f9d4e0fac4133ee47d2cfc1>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247D9A8-0C34-4F97-AADE-1FAE5B8204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5c9081-5a98-403d-b920-2351985ad1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EADFD5-1D9B-4C52-83DB-F7D849AB9C8B}">
  <ds:schemaRefs>
    <ds:schemaRef ds:uri="http://schemas.microsoft.com/sharepoint/v3/contenttype/forms"/>
  </ds:schemaRefs>
</ds:datastoreItem>
</file>

<file path=customXml/itemProps3.xml><?xml version="1.0" encoding="utf-8"?>
<ds:datastoreItem xmlns:ds="http://schemas.openxmlformats.org/officeDocument/2006/customXml" ds:itemID="{C551C9E9-5FF1-4C81-8DAD-A01734F3F33E}">
  <ds:schemaRefs>
    <ds:schemaRef ds:uri="http://schemas.microsoft.com/office/2006/metadata/properties"/>
    <ds:schemaRef ds:uri="http://schemas.microsoft.com/office/infopath/2007/PartnerControls"/>
    <ds:schemaRef ds:uri="f7229e2e-5b2e-4143-baf1-f68b8a0ed288"/>
    <ds:schemaRef ds:uri="30b49faa-b8f9-4296-a454-acb934e2b465"/>
    <ds:schemaRef ds:uri="fd4af756-87f9-425b-bb6b-fd7fbf1e4c43"/>
    <ds:schemaRef ds:uri="http://schemas.microsoft.com/sharepoint/v3/fields"/>
    <ds:schemaRef ds:uri="http://schemas.microsoft.com/sharepoint.v3"/>
    <ds:schemaRef ds:uri="a25c9081-5a98-403d-b920-2351985ad1cf"/>
  </ds:schemaRefs>
</ds:datastoreItem>
</file>

<file path=customXml/itemProps4.xml><?xml version="1.0" encoding="utf-8"?>
<ds:datastoreItem xmlns:ds="http://schemas.openxmlformats.org/officeDocument/2006/customXml" ds:itemID="{F8A4F9D7-6101-4543-9598-9A4313C4C5D9}">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Page de garde</vt:lpstr>
      <vt:lpstr>B131-Suivi du bilan carbonne</vt:lpstr>
      <vt:lpstr>FE MAJ</vt:lpstr>
      <vt:lpstr>Informations diverses</vt:lpstr>
      <vt:lpstr>'FE MAJ'!Déchets</vt:lpstr>
      <vt:lpstr>'FE MAJ'!Déplacements</vt:lpstr>
      <vt:lpstr>'FE MAJ'!Energie</vt:lpstr>
      <vt:lpstr>'FE MAJ'!Fret</vt:lpstr>
      <vt:lpstr>listeFE</vt:lpstr>
      <vt:lpstr>'FE MAJ'!Materiaux</vt:lpstr>
      <vt:lpstr>'FE MAJ'!Matériaux</vt:lpstr>
      <vt:lpstr>'FE MAJ'!Materiels</vt:lpstr>
      <vt:lpstr>'FE MAJ'!Matériels</vt:lpstr>
      <vt:lpstr>'FE MAJ'!tableFE</vt:lpstr>
      <vt:lpstr>'FE MAJ'!UTCF</vt:lpstr>
      <vt:lpstr>'B131-Suivi du bilan carbonne'!Zone_d_impression</vt:lpstr>
      <vt:lpstr>'Page de garde'!Zone_d_impression</vt:lpstr>
    </vt:vector>
  </TitlesOfParts>
  <Company>SETEC TPI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Tableur Excel</dc:title>
  <dc:creator>PINCEMY Guillaume</dc:creator>
  <dc:description/>
  <cp:lastModifiedBy>BEAULIEU Virginie, SCSNE</cp:lastModifiedBy>
  <cp:lastPrinted>2025-01-28T13:28:15Z</cp:lastPrinted>
  <dcterms:created xsi:type="dcterms:W3CDTF">2015-06-22T16:17:02Z</dcterms:created>
  <dcterms:modified xsi:type="dcterms:W3CDTF">2025-01-28T13:34:26Z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ice">
    <vt:lpwstr/>
  </property>
  <property fmtid="{D5CDD505-2E9C-101B-9397-08002B2CF9AE}" pid="3" name="bd979c4c68644ceab37d4a20db75ea12">
    <vt:lpwstr/>
  </property>
  <property fmtid="{D5CDD505-2E9C-101B-9397-08002B2CF9AE}" pid="4" name="j7c1b7f1034743469530126fc9e01dd6">
    <vt:lpwstr/>
  </property>
  <property fmtid="{D5CDD505-2E9C-101B-9397-08002B2CF9AE}" pid="5" name="of5eb793465d4a8ba0d8abc9f39a4a47">
    <vt:lpwstr/>
  </property>
  <property fmtid="{D5CDD505-2E9C-101B-9397-08002B2CF9AE}" pid="6" name="Référence externe">
    <vt:lpwstr/>
  </property>
  <property fmtid="{D5CDD505-2E9C-101B-9397-08002B2CF9AE}" pid="7" name="TaxCatchAll">
    <vt:lpwstr/>
  </property>
  <property fmtid="{D5CDD505-2E9C-101B-9397-08002B2CF9AE}" pid="8" name="pd40ce76961c4bf499f117bd7f35e937">
    <vt:lpwstr/>
  </property>
  <property fmtid="{D5CDD505-2E9C-101B-9397-08002B2CF9AE}" pid="9" name="Numéro">
    <vt:lpwstr/>
  </property>
  <property fmtid="{D5CDD505-2E9C-101B-9397-08002B2CF9AE}" pid="10" name="i52f97db05bb495d98f5f2abe0d03112">
    <vt:lpwstr/>
  </property>
  <property fmtid="{D5CDD505-2E9C-101B-9397-08002B2CF9AE}" pid="11" name="c7802a3ff1a14e95b7f8f5211e121c58">
    <vt:lpwstr/>
  </property>
  <property fmtid="{D5CDD505-2E9C-101B-9397-08002B2CF9AE}" pid="12" name="c4d0eb02555446b3a4414e2f4d2a7e48">
    <vt:lpwstr/>
  </property>
  <property fmtid="{D5CDD505-2E9C-101B-9397-08002B2CF9AE}" pid="13" name="j3f3a6cc254c4c7caec36ad4db6975fc">
    <vt:lpwstr/>
  </property>
  <property fmtid="{D5CDD505-2E9C-101B-9397-08002B2CF9AE}" pid="14" name="Ouvrage">
    <vt:lpwstr/>
  </property>
  <property fmtid="{D5CDD505-2E9C-101B-9397-08002B2CF9AE}" pid="15" name="Phase">
    <vt:lpwstr/>
  </property>
  <property fmtid="{D5CDD505-2E9C-101B-9397-08002B2CF9AE}" pid="16" name="Classement">
    <vt:lpwstr/>
  </property>
  <property fmtid="{D5CDD505-2E9C-101B-9397-08002B2CF9AE}" pid="17" name="Emetteur">
    <vt:lpwstr/>
  </property>
  <property fmtid="{D5CDD505-2E9C-101B-9397-08002B2CF9AE}" pid="18" name="March_x00e9_">
    <vt:lpwstr/>
  </property>
  <property fmtid="{D5CDD505-2E9C-101B-9397-08002B2CF9AE}" pid="19" name="Domaine">
    <vt:lpwstr/>
  </property>
  <property fmtid="{D5CDD505-2E9C-101B-9397-08002B2CF9AE}" pid="20" name="Type_x0020_de_x0020_document">
    <vt:lpwstr/>
  </property>
  <property fmtid="{D5CDD505-2E9C-101B-9397-08002B2CF9AE}" pid="21" name="Statut">
    <vt:lpwstr>1;#IFI|3f30827e-433b-4d39-a4cd-77c4660fe051</vt:lpwstr>
  </property>
  <property fmtid="{D5CDD505-2E9C-101B-9397-08002B2CF9AE}" pid="22" name="Secteur">
    <vt:lpwstr/>
  </property>
  <property fmtid="{D5CDD505-2E9C-101B-9397-08002B2CF9AE}" pid="23" name="$Resources:core,Signoff_Status;">
    <vt:lpwstr/>
  </property>
  <property fmtid="{D5CDD505-2E9C-101B-9397-08002B2CF9AE}" pid="24" name="Marché">
    <vt:lpwstr/>
  </property>
  <property fmtid="{D5CDD505-2E9C-101B-9397-08002B2CF9AE}" pid="25" name="MediaServiceImageTags">
    <vt:lpwstr/>
  </property>
  <property fmtid="{D5CDD505-2E9C-101B-9397-08002B2CF9AE}" pid="26" name="ContentTypeId">
    <vt:lpwstr>0x010100C9C475DEAE7003499C566A1290D17E2E00C1FE2BA507BE424BA0ED9BE2A3F41C8C</vt:lpwstr>
  </property>
  <property fmtid="{D5CDD505-2E9C-101B-9397-08002B2CF9AE}" pid="27" name="Type de document">
    <vt:lpwstr/>
  </property>
  <property fmtid="{D5CDD505-2E9C-101B-9397-08002B2CF9AE}" pid="28" name="Classe">
    <vt:lpwstr>2;#INF|75044a80-0361-445f-96bb-9e99c13f9bde</vt:lpwstr>
  </property>
  <property fmtid="{D5CDD505-2E9C-101B-9397-08002B2CF9AE}" pid="29" name="Dossier">
    <vt:lpwstr/>
  </property>
  <property fmtid="{D5CDD505-2E9C-101B-9397-08002B2CF9AE}" pid="30" name="Format">
    <vt:lpwstr/>
  </property>
  <property fmtid="{D5CDD505-2E9C-101B-9397-08002B2CF9AE}" pid="31" name="Confidentialité">
    <vt:lpwstr>3;#R|6121e067-4141-4a09-83f2-731dfa9cb483</vt:lpwstr>
  </property>
  <property fmtid="{D5CDD505-2E9C-101B-9397-08002B2CF9AE}" pid="32" name="Indice1">
    <vt:lpwstr/>
  </property>
  <property fmtid="{D5CDD505-2E9C-101B-9397-08002B2CF9AE}" pid="33" name="l6b43b830c0941b0ad8f5ae57e258c09">
    <vt:lpwstr>APP|9700f631-fd84-4529-ae30-7af3cc39c0ed</vt:lpwstr>
  </property>
  <property fmtid="{D5CDD505-2E9C-101B-9397-08002B2CF9AE}" pid="34" name="b4441a5fbe80410da9e5c5465d5b4af3">
    <vt:lpwstr/>
  </property>
  <property fmtid="{D5CDD505-2E9C-101B-9397-08002B2CF9AE}" pid="35" name="Libellé GT/SGT">
    <vt:lpwstr>588;#GT08 - Stratégies d'achats|cbb4546e-96d7-4a60-80c5-a6f8151cf617</vt:lpwstr>
  </property>
  <property fmtid="{D5CDD505-2E9C-101B-9397-08002B2CF9AE}" pid="36" name="Type de données">
    <vt:lpwstr>553;#Données d'entrée|a50b4a29-dda5-4d2c-b875-5e12776a9de1</vt:lpwstr>
  </property>
  <property fmtid="{D5CDD505-2E9C-101B-9397-08002B2CF9AE}" pid="37" name="Précision type données GT">
    <vt:lpwstr>553;#Données d'entrée|a50b4a29-dda5-4d2c-b875-5e12776a9de1</vt:lpwstr>
  </property>
  <property fmtid="{D5CDD505-2E9C-101B-9397-08002B2CF9AE}" pid="38" name="Classe0">
    <vt:lpwstr>16;#APP|9700f631-fd84-4529-ae30-7af3cc39c0ed</vt:lpwstr>
  </property>
  <property fmtid="{D5CDD505-2E9C-101B-9397-08002B2CF9AE}" pid="39" name="Nom GT0">
    <vt:lpwstr>588;#GT08 - Stratégies d'achats|cbb4546e-96d7-4a60-80c5-a6f8151cf617</vt:lpwstr>
  </property>
  <property fmtid="{D5CDD505-2E9C-101B-9397-08002B2CF9AE}" pid="40" name="Format AMOG">
    <vt:lpwstr/>
  </property>
  <property fmtid="{D5CDD505-2E9C-101B-9397-08002B2CF9AE}" pid="41" name="pf4eed9f75c441529a323557601699e3">
    <vt:lpwstr/>
  </property>
  <property fmtid="{D5CDD505-2E9C-101B-9397-08002B2CF9AE}" pid="42" name="Code mission">
    <vt:lpwstr/>
  </property>
  <property fmtid="{D5CDD505-2E9C-101B-9397-08002B2CF9AE}" pid="43" name="aa748c797da544d2ac5b98f90c840ef9">
    <vt:lpwstr/>
  </property>
  <property fmtid="{D5CDD505-2E9C-101B-9397-08002B2CF9AE}" pid="44" name="Ouvrage AMOG">
    <vt:lpwstr/>
  </property>
  <property fmtid="{D5CDD505-2E9C-101B-9397-08002B2CF9AE}" pid="45" name="j871be2cbfc64242ae193bb4b93fdf8c">
    <vt:lpwstr/>
  </property>
  <property fmtid="{D5CDD505-2E9C-101B-9397-08002B2CF9AE}" pid="46" name="ff28a624bf2f4b9199715f34be4c53fc">
    <vt:lpwstr/>
  </property>
  <property fmtid="{D5CDD505-2E9C-101B-9397-08002B2CF9AE}" pid="47" name="Indice AMOG">
    <vt:lpwstr/>
  </property>
  <property fmtid="{D5CDD505-2E9C-101B-9397-08002B2CF9AE}" pid="48" name="Folder_Number">
    <vt:lpwstr/>
  </property>
  <property fmtid="{D5CDD505-2E9C-101B-9397-08002B2CF9AE}" pid="49" name="Folder_Code">
    <vt:lpwstr/>
  </property>
  <property fmtid="{D5CDD505-2E9C-101B-9397-08002B2CF9AE}" pid="50" name="Folder_Name">
    <vt:lpwstr/>
  </property>
  <property fmtid="{D5CDD505-2E9C-101B-9397-08002B2CF9AE}" pid="51" name="Folder_Description">
    <vt:lpwstr/>
  </property>
  <property fmtid="{D5CDD505-2E9C-101B-9397-08002B2CF9AE}" pid="52" name="/Folder_Name/">
    <vt:lpwstr/>
  </property>
  <property fmtid="{D5CDD505-2E9C-101B-9397-08002B2CF9AE}" pid="53" name="/Folder_Description/">
    <vt:lpwstr/>
  </property>
  <property fmtid="{D5CDD505-2E9C-101B-9397-08002B2CF9AE}" pid="54" name="Folder_Version">
    <vt:lpwstr/>
  </property>
  <property fmtid="{D5CDD505-2E9C-101B-9397-08002B2CF9AE}" pid="55" name="Folder_VersionSeq">
    <vt:lpwstr/>
  </property>
  <property fmtid="{D5CDD505-2E9C-101B-9397-08002B2CF9AE}" pid="56" name="Folder_Manager">
    <vt:lpwstr/>
  </property>
  <property fmtid="{D5CDD505-2E9C-101B-9397-08002B2CF9AE}" pid="57" name="Folder_ManagerDesc">
    <vt:lpwstr/>
  </property>
  <property fmtid="{D5CDD505-2E9C-101B-9397-08002B2CF9AE}" pid="58" name="Folder_Storage">
    <vt:lpwstr/>
  </property>
  <property fmtid="{D5CDD505-2E9C-101B-9397-08002B2CF9AE}" pid="59" name="Folder_StorageDesc">
    <vt:lpwstr/>
  </property>
  <property fmtid="{D5CDD505-2E9C-101B-9397-08002B2CF9AE}" pid="60" name="Folder_Creator">
    <vt:lpwstr/>
  </property>
  <property fmtid="{D5CDD505-2E9C-101B-9397-08002B2CF9AE}" pid="61" name="Folder_CreatorDesc">
    <vt:lpwstr/>
  </property>
  <property fmtid="{D5CDD505-2E9C-101B-9397-08002B2CF9AE}" pid="62" name="Folder_CreateDate">
    <vt:lpwstr/>
  </property>
  <property fmtid="{D5CDD505-2E9C-101B-9397-08002B2CF9AE}" pid="63" name="Folder_Updater">
    <vt:lpwstr/>
  </property>
  <property fmtid="{D5CDD505-2E9C-101B-9397-08002B2CF9AE}" pid="64" name="Folder_UpdaterDesc">
    <vt:lpwstr/>
  </property>
  <property fmtid="{D5CDD505-2E9C-101B-9397-08002B2CF9AE}" pid="65" name="Folder_UpdateDate">
    <vt:lpwstr/>
  </property>
  <property fmtid="{D5CDD505-2E9C-101B-9397-08002B2CF9AE}" pid="66" name="Document_Number">
    <vt:lpwstr/>
  </property>
  <property fmtid="{D5CDD505-2E9C-101B-9397-08002B2CF9AE}" pid="67" name="Document_Name">
    <vt:lpwstr/>
  </property>
  <property fmtid="{D5CDD505-2E9C-101B-9397-08002B2CF9AE}" pid="68" name="Document_FileName">
    <vt:lpwstr/>
  </property>
  <property fmtid="{D5CDD505-2E9C-101B-9397-08002B2CF9AE}" pid="69" name="Document_Version">
    <vt:lpwstr/>
  </property>
  <property fmtid="{D5CDD505-2E9C-101B-9397-08002B2CF9AE}" pid="70" name="Document_VersionSeq">
    <vt:lpwstr/>
  </property>
  <property fmtid="{D5CDD505-2E9C-101B-9397-08002B2CF9AE}" pid="71" name="Document_Creator">
    <vt:lpwstr/>
  </property>
  <property fmtid="{D5CDD505-2E9C-101B-9397-08002B2CF9AE}" pid="72" name="Document_CreatorDesc">
    <vt:lpwstr/>
  </property>
  <property fmtid="{D5CDD505-2E9C-101B-9397-08002B2CF9AE}" pid="73" name="Document_CreateDate">
    <vt:lpwstr/>
  </property>
  <property fmtid="{D5CDD505-2E9C-101B-9397-08002B2CF9AE}" pid="74" name="Document_Updater">
    <vt:lpwstr/>
  </property>
  <property fmtid="{D5CDD505-2E9C-101B-9397-08002B2CF9AE}" pid="75" name="Document_UpdaterDesc">
    <vt:lpwstr/>
  </property>
  <property fmtid="{D5CDD505-2E9C-101B-9397-08002B2CF9AE}" pid="76" name="Document_UpdateDate">
    <vt:lpwstr/>
  </property>
  <property fmtid="{D5CDD505-2E9C-101B-9397-08002B2CF9AE}" pid="77" name="Document_Size">
    <vt:lpwstr/>
  </property>
  <property fmtid="{D5CDD505-2E9C-101B-9397-08002B2CF9AE}" pid="78" name="Document_Storage">
    <vt:lpwstr/>
  </property>
  <property fmtid="{D5CDD505-2E9C-101B-9397-08002B2CF9AE}" pid="79" name="Document_StorageDesc">
    <vt:lpwstr/>
  </property>
  <property fmtid="{D5CDD505-2E9C-101B-9397-08002B2CF9AE}" pid="80" name="Document_Department">
    <vt:lpwstr/>
  </property>
  <property fmtid="{D5CDD505-2E9C-101B-9397-08002B2CF9AE}" pid="81" name="Document_DepartmentDesc">
    <vt:lpwstr/>
  </property>
</Properties>
</file>