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de-crozals\Documents\MIRAMAS 2024\DAF_2024_001722_Suivi environnemental EPMu\DCE\Plan de gestion dépôt CAPSE\"/>
    </mc:Choice>
  </mc:AlternateContent>
  <bookViews>
    <workbookView xWindow="120" yWindow="120" windowWidth="28515" windowHeight="12585"/>
  </bookViews>
  <sheets>
    <sheet name="Plan_gestion_dépôt_(CAPSE)" sheetId="2" r:id="rId1"/>
  </sheets>
  <definedNames>
    <definedName name="ACCES">#REF!</definedName>
    <definedName name="AVIS">#REF!</definedName>
  </definedNames>
  <calcPr calcId="162913" refMode="R1C1"/>
</workbook>
</file>

<file path=xl/calcChain.xml><?xml version="1.0" encoding="utf-8"?>
<calcChain xmlns="http://schemas.openxmlformats.org/spreadsheetml/2006/main">
  <c r="D30" i="2" l="1"/>
  <c r="E15" i="2"/>
  <c r="E13" i="2"/>
  <c r="E12" i="2"/>
  <c r="E11" i="2"/>
  <c r="E10" i="2"/>
  <c r="E9" i="2"/>
  <c r="E8" i="2"/>
  <c r="E7" i="2"/>
  <c r="E37" i="2" l="1"/>
  <c r="F37" i="2"/>
  <c r="G37" i="2"/>
  <c r="H37" i="2"/>
  <c r="I37" i="2"/>
  <c r="J37" i="2"/>
  <c r="K37" i="2"/>
  <c r="L37" i="2"/>
  <c r="M37" i="2"/>
  <c r="D37" i="2"/>
  <c r="P35" i="2"/>
  <c r="L35" i="2"/>
  <c r="E35" i="2"/>
  <c r="F35" i="2"/>
  <c r="G35" i="2"/>
  <c r="D35" i="2"/>
  <c r="P34" i="2"/>
  <c r="L34" i="2"/>
  <c r="E34" i="2"/>
  <c r="F34" i="2"/>
  <c r="G34" i="2"/>
  <c r="D34" i="2"/>
  <c r="N34" i="2"/>
  <c r="N33" i="2"/>
  <c r="P33" i="2" s="1"/>
  <c r="P32" i="2"/>
  <c r="L32" i="2"/>
  <c r="E32" i="2"/>
  <c r="F32" i="2"/>
  <c r="G32" i="2"/>
  <c r="D32" i="2"/>
  <c r="N32" i="2" s="1"/>
  <c r="L31" i="2"/>
  <c r="G31" i="2"/>
  <c r="F31" i="2"/>
  <c r="E31" i="2"/>
  <c r="D31" i="2"/>
  <c r="N31" i="2" s="1"/>
  <c r="P31" i="2" s="1"/>
  <c r="L26" i="2"/>
  <c r="E26" i="2"/>
  <c r="F26" i="2"/>
  <c r="G26" i="2"/>
  <c r="D26" i="2"/>
  <c r="E25" i="2"/>
  <c r="E24" i="2"/>
  <c r="E22" i="2"/>
  <c r="N22" i="2" s="1"/>
  <c r="E21" i="2"/>
  <c r="E20" i="2"/>
  <c r="L29" i="2"/>
  <c r="E29" i="2"/>
  <c r="F29" i="2"/>
  <c r="G29" i="2"/>
  <c r="D29" i="2"/>
  <c r="L30" i="2"/>
  <c r="E30" i="2"/>
  <c r="F30" i="2"/>
  <c r="G30" i="2"/>
  <c r="N29" i="2"/>
  <c r="P29" i="2" s="1"/>
  <c r="P28" i="2"/>
  <c r="M28" i="2"/>
  <c r="K28" i="2"/>
  <c r="I28" i="2"/>
  <c r="F28" i="2"/>
  <c r="E28" i="2"/>
  <c r="D28" i="2"/>
  <c r="M27" i="2"/>
  <c r="K27" i="2"/>
  <c r="I27" i="2"/>
  <c r="E27" i="2"/>
  <c r="F27" i="2"/>
  <c r="D27" i="2"/>
  <c r="N28" i="2"/>
  <c r="N25" i="2"/>
  <c r="N23" i="2"/>
  <c r="N21" i="2"/>
  <c r="N20" i="2"/>
  <c r="N19" i="2"/>
  <c r="N18" i="2"/>
  <c r="N17" i="2"/>
  <c r="P16" i="2"/>
  <c r="N16" i="2"/>
  <c r="N15" i="2"/>
  <c r="N13" i="2"/>
  <c r="N12" i="2"/>
  <c r="N11" i="2"/>
  <c r="N10" i="2"/>
  <c r="N14" i="2"/>
  <c r="F9" i="2"/>
  <c r="G9" i="2"/>
  <c r="H9" i="2"/>
  <c r="I9" i="2"/>
  <c r="J9" i="2"/>
  <c r="K9" i="2"/>
  <c r="L9" i="2"/>
  <c r="M9" i="2"/>
  <c r="M8" i="2"/>
  <c r="N8" i="2"/>
  <c r="M7" i="2"/>
  <c r="N6" i="2"/>
  <c r="N35" i="2" l="1"/>
  <c r="N26" i="2"/>
  <c r="P26" i="2" s="1"/>
  <c r="N24" i="2"/>
  <c r="P25" i="2" s="1"/>
  <c r="P23" i="2"/>
  <c r="N30" i="2"/>
  <c r="P30" i="2" s="1"/>
  <c r="N27" i="2"/>
  <c r="N7" i="2"/>
  <c r="N9" i="2"/>
  <c r="P14" i="2"/>
  <c r="P9" i="2" l="1"/>
  <c r="P37" i="2" s="1"/>
</calcChain>
</file>

<file path=xl/sharedStrings.xml><?xml version="1.0" encoding="utf-8"?>
<sst xmlns="http://schemas.openxmlformats.org/spreadsheetml/2006/main" count="106" uniqueCount="100">
  <si>
    <t>MIRAMAS - MODERNISATION DU DEPOT</t>
  </si>
  <si>
    <t>PLAN DE GESTION DES ESPACES LIBERES SUR LE DEPOT</t>
  </si>
  <si>
    <t>GESTION PREVISIONNELLE DES EJ-CP</t>
  </si>
  <si>
    <t>Action d'Intervention sur le Patrimoine Natuel IPN n°1</t>
  </si>
  <si>
    <t>Gestion différenciée de la végétation (habitat - faune - flore)</t>
  </si>
  <si>
    <t>Référence</t>
  </si>
  <si>
    <t>Objet</t>
  </si>
  <si>
    <t>Action d'Intervention sur le Patrimoine Natuel IPN n°2</t>
  </si>
  <si>
    <t>Installations de nichoirs et de gîtes</t>
  </si>
  <si>
    <t>coût nul sur toutes les 10 années de gestion</t>
  </si>
  <si>
    <t>N1</t>
  </si>
  <si>
    <t>Prestation</t>
  </si>
  <si>
    <t>Fabrication des gites et nichoirs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</si>
  <si>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</si>
  <si>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</si>
  <si>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</si>
  <si>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</si>
  <si>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</si>
  <si>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</si>
  <si>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</si>
  <si>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</si>
  <si>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</si>
  <si>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Pose des nichoirs et gites</t>
  </si>
  <si>
    <t>Entretien des nichoirs et gites</t>
  </si>
  <si>
    <t>années</t>
  </si>
  <si>
    <t>Action d'Intervention sur le Patrimoine Natuel IPN n°3</t>
  </si>
  <si>
    <t>Réhabilitation des espaces libérés et dégradés (habitat - faune - flore)</t>
  </si>
  <si>
    <t>Apport de terre végétale (30 € TTC/m3 x 32190m3)</t>
  </si>
  <si>
    <t>Récolte de graines sur 20ha</t>
  </si>
  <si>
    <t>Semis des graines "à la volée" (60 € TTC/ha x 10ha)</t>
  </si>
  <si>
    <t>Roulage à l'aide d'un rouleau agricole (96€ TTC/ha x 10 ha)</t>
  </si>
  <si>
    <t>Coût total € TTC IPN n°1</t>
  </si>
  <si>
    <t>Coût total € TTC IPN n°2</t>
  </si>
  <si>
    <t>Coût total € TTC IPN n°3</t>
  </si>
  <si>
    <t>Action d'Intervention sur le Patrimoine Natuel IPN n°4</t>
  </si>
  <si>
    <t>Mise en place d'une barre afin de coucher les chardons lors des opérations de fauche</t>
  </si>
  <si>
    <t>Achat du matériel</t>
  </si>
  <si>
    <t>Fauchage mécanique</t>
  </si>
  <si>
    <t>Action d'Intervention sur le Patrimoine Natuel IPN n°5</t>
  </si>
  <si>
    <t>Coût total € TTC IPN n°5</t>
  </si>
  <si>
    <t>Coût total € TTC IPN n°4</t>
  </si>
  <si>
    <t>Action d'Intervention sur le Patrimoine Natuel IPN n°6</t>
  </si>
  <si>
    <t>Limitation de la fréquentation humaine</t>
  </si>
  <si>
    <t>Gestion pastorale du milieu</t>
  </si>
  <si>
    <t>Coût total € TTC IPN n°6</t>
  </si>
  <si>
    <t>Action d'Intervention sur le Patrimoine Natuel IPN n°7</t>
  </si>
  <si>
    <t>coût nul sur toutes les 10 années de gestion (car intégré dans le marché de travaux de réalisation de la clôture)</t>
  </si>
  <si>
    <t>Installation de la clôture au sein de Calissane sur un linéaire test</t>
  </si>
  <si>
    <t>Coût total € TTC IPN n°7</t>
  </si>
  <si>
    <t>Coût global de chaque prestation en € TTC</t>
  </si>
  <si>
    <t>Action d'Intervention sur le Patrimoine Natuel IPN n°8</t>
  </si>
  <si>
    <t>Mise en place d'un dispositif d'évacuation du criquet de Crau dans l'emprise des travaux de clôture dans la Calissanne</t>
  </si>
  <si>
    <t>Pose et dépose du filet</t>
  </si>
  <si>
    <t>Capture et déplacement des criquets, compte-rendu</t>
  </si>
  <si>
    <t>Suivi de la clôture</t>
  </si>
  <si>
    <t>Coût total € TTC IPN n°8</t>
  </si>
  <si>
    <t>Action de Génie Ecologique GE n°1</t>
  </si>
  <si>
    <t>Création de gites favorables au lézard ocellé et autres reptiles</t>
  </si>
  <si>
    <t>Coût total € TTC GE n°1</t>
  </si>
  <si>
    <t>Action de Connaissance et Suivi du patrimoine naturel CS n°1</t>
  </si>
  <si>
    <t>Suivi de l'entomofaune</t>
  </si>
  <si>
    <t>Coût total € TTC CS n°1</t>
  </si>
  <si>
    <t>Action de Connaissance et Suivi du patrimoine naturel CS n°2</t>
  </si>
  <si>
    <t>Suivi comparatif des populations de criquets de Crau</t>
  </si>
  <si>
    <t>Mise en œuvre du protocole de suivi</t>
  </si>
  <si>
    <t>Exploitation des données et rédaction du rapport détaillé</t>
  </si>
  <si>
    <t>Coût total € TTC CS n°2</t>
  </si>
  <si>
    <t>Action de Connaissance et Suivi du patrimoine naturel CS n°3</t>
  </si>
  <si>
    <t>Mise en place d'un protocole de suivi des mâles chanteurs (avifaune)</t>
  </si>
  <si>
    <t>Coût total € TTC CS n°3</t>
  </si>
  <si>
    <t>Action de Connaissance et Suivi du patrimoine naturel CS n°4</t>
  </si>
  <si>
    <t>Mesures des dérangements liés à l'activité humaine à l'aide de sonomètres</t>
  </si>
  <si>
    <t>Coût total € TTC CS n°4</t>
  </si>
  <si>
    <t>Action de suivi durant les mois de avril à juillet</t>
  </si>
  <si>
    <t>Opération de gestion incluse dans la rédaction du bilan environnemental annuel</t>
  </si>
  <si>
    <t>Action de Connaissance et Suivi du patrimoine naturel CS n°5</t>
  </si>
  <si>
    <t>Mise en place d'un protocole de suivi des mâles chanteurs à l'aide d'enregistreurs (avifaune)</t>
  </si>
  <si>
    <t>Action de Connaissance et Suivi du patrimoine naturel CS n°6</t>
  </si>
  <si>
    <t xml:space="preserve">Suivi et comptage des individus dans et à proximité fonctionnelle des gîtes à reptiles </t>
  </si>
  <si>
    <t>Coût total € TTC CS n°6</t>
  </si>
  <si>
    <t>Coût total € TTC CS n°5</t>
  </si>
  <si>
    <t>Action de Connaissance et Suivi du patrimoine naturel CS n°7</t>
  </si>
  <si>
    <t>Suivi de la population de lapins de Garenne</t>
  </si>
  <si>
    <t>Action de Connaissance et Suivi du patrimoine naturel CS n°8</t>
  </si>
  <si>
    <t>Suivi des gîtes potentiels pour les chiroptères</t>
  </si>
  <si>
    <t>Action de Connaissance et Suivi du patrimoine naturel CS n°9</t>
  </si>
  <si>
    <t>Suivi de la végétation et des habitats</t>
  </si>
  <si>
    <t>Coût total € TTC CS n°7</t>
  </si>
  <si>
    <t>Coût total € TTC CS n°8</t>
  </si>
  <si>
    <t>Coût total € TTC CS n°9</t>
  </si>
  <si>
    <t>Total annuel</t>
  </si>
  <si>
    <t>TOTAL des mesures</t>
  </si>
  <si>
    <t>GESTION PREVISIONNELLE DU COÛT DU PLAN DE GESTION ECOLOGIQUE DU DEPOT (rédigé par CAPSE)</t>
  </si>
  <si>
    <t>Décaissage + export + régalage (18€ TTC/m² x 64380m3)</t>
  </si>
  <si>
    <r>
      <t>Action de suivi (</t>
    </r>
    <r>
      <rPr>
        <b/>
        <i/>
        <sz val="11"/>
        <color theme="1"/>
        <rFont val="Calibri"/>
        <family val="2"/>
        <scheme val="minor"/>
      </rPr>
      <t>déjà pris dans le marché 22.IS.2506 jusqu'en 2025</t>
    </r>
    <r>
      <rPr>
        <sz val="11"/>
        <color theme="1"/>
        <rFont val="Calibri"/>
        <family val="2"/>
        <scheme val="minor"/>
      </rPr>
      <t>)</t>
    </r>
  </si>
  <si>
    <r>
      <t xml:space="preserve">Action de suivi durant les mois de avril à juillet </t>
    </r>
    <r>
      <rPr>
        <b/>
        <i/>
        <sz val="11"/>
        <color theme="1"/>
        <rFont val="Calibri"/>
        <family val="2"/>
        <scheme val="minor"/>
      </rPr>
      <t>(déjà pris dans le marché 22.IS.2506 jusqu'en 2025)</t>
    </r>
  </si>
  <si>
    <r>
      <t>Action de suivi durant les mois de mars à mai (</t>
    </r>
    <r>
      <rPr>
        <b/>
        <i/>
        <sz val="11"/>
        <color theme="1"/>
        <rFont val="Calibri"/>
        <family val="2"/>
        <scheme val="minor"/>
      </rPr>
      <t>déjà pris dans le marché 22.IS.2506 jusqu'en 2025</t>
    </r>
    <r>
      <rPr>
        <sz val="11"/>
        <color theme="1"/>
        <rFont val="Calibri"/>
        <family val="2"/>
        <scheme val="minor"/>
      </rPr>
      <t>)</t>
    </r>
  </si>
  <si>
    <r>
      <t>Action de suivi durant le mois de mars et le mois de septembre (coût inclus dans le suivi des chiroptères) (</t>
    </r>
    <r>
      <rPr>
        <b/>
        <i/>
        <sz val="11"/>
        <color theme="1"/>
        <rFont val="Calibri"/>
        <family val="2"/>
        <scheme val="minor"/>
      </rPr>
      <t>déjà pris dans le marché 22.IS.2506 jusqu'en 2025</t>
    </r>
    <r>
      <rPr>
        <sz val="11"/>
        <color theme="1"/>
        <rFont val="Calibri"/>
        <family val="2"/>
        <scheme val="minor"/>
      </rPr>
      <t>)</t>
    </r>
  </si>
  <si>
    <r>
      <t>Action de suivi durant le mois de mars et le mois de septembre (</t>
    </r>
    <r>
      <rPr>
        <b/>
        <i/>
        <sz val="11"/>
        <color theme="1"/>
        <rFont val="Calibri"/>
        <family val="2"/>
        <scheme val="minor"/>
      </rPr>
      <t>déjà pris dans le marché 22.IS.2506 jusqu'en 2025</t>
    </r>
    <r>
      <rPr>
        <sz val="11"/>
        <color theme="1"/>
        <rFont val="Calibri"/>
        <family val="2"/>
        <scheme val="minor"/>
      </rPr>
      <t>)</t>
    </r>
  </si>
  <si>
    <r>
      <t>Action de suivi durant les mois de avril à juillet (</t>
    </r>
    <r>
      <rPr>
        <b/>
        <i/>
        <sz val="11"/>
        <color theme="1"/>
        <rFont val="Calibri"/>
        <family val="2"/>
        <scheme val="minor"/>
      </rPr>
      <t>déjà pris dans le marché 22.IS.2506 jusqu'en 2025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</si>
</sst>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0" fillId="0" borderId="5" xfId="0" applyBorder="1" applyAlignment="1">
      <alignment horizontal="center"/>
    </xf>
    <xf numFmtId="164" fontId="5" fillId="0" borderId="5" xfId="0" applyNumberFormat="1" applyFont="1" applyBorder="1"/>
    <xf numFmtId="164" fontId="0" fillId="0" borderId="6" xfId="0" applyNumberFormat="1" applyBorder="1"/>
    <xf numFmtId="0" fontId="0" fillId="0" borderId="1" xfId="0" applyBorder="1"/>
    <xf numFmtId="164" fontId="0" fillId="0" borderId="1" xfId="0" applyNumberFormat="1" applyBorder="1"/>
    <xf numFmtId="164" fontId="5" fillId="0" borderId="1" xfId="0" applyNumberFormat="1" applyFont="1" applyBorder="1"/>
    <xf numFmtId="0" fontId="0" fillId="0" borderId="7" xfId="0" applyBorder="1"/>
    <xf numFmtId="0" fontId="0" fillId="0" borderId="10" xfId="0" applyBorder="1"/>
    <xf numFmtId="164" fontId="0" fillId="0" borderId="10" xfId="0" applyNumberFormat="1" applyBorder="1"/>
    <xf numFmtId="0" fontId="0" fillId="0" borderId="9" xfId="0" applyBorder="1"/>
    <xf numFmtId="0" fontId="0" fillId="0" borderId="0" xfId="0" applyBorder="1"/>
    <xf numFmtId="0" fontId="0" fillId="0" borderId="12" xfId="0" applyBorder="1"/>
    <xf numFmtId="0" fontId="0" fillId="0" borderId="15" xfId="0" applyBorder="1"/>
    <xf numFmtId="164" fontId="0" fillId="0" borderId="15" xfId="0" applyNumberFormat="1" applyBorder="1"/>
    <xf numFmtId="164" fontId="5" fillId="0" borderId="15" xfId="0" applyNumberFormat="1" applyFont="1" applyBorder="1"/>
    <xf numFmtId="0" fontId="0" fillId="0" borderId="14" xfId="0" applyBorder="1" applyAlignment="1">
      <alignment horizontal="center"/>
    </xf>
    <xf numFmtId="164" fontId="0" fillId="0" borderId="16" xfId="0" applyNumberFormat="1" applyBorder="1"/>
    <xf numFmtId="0" fontId="5" fillId="0" borderId="0" xfId="0" applyFont="1" applyAlignment="1">
      <alignment horizontal="center" wrapText="1"/>
    </xf>
    <xf numFmtId="0" fontId="0" fillId="0" borderId="3" xfId="0" applyBorder="1"/>
    <xf numFmtId="164" fontId="0" fillId="0" borderId="3" xfId="0" applyNumberFormat="1" applyBorder="1"/>
    <xf numFmtId="164" fontId="5" fillId="0" borderId="3" xfId="0" applyNumberFormat="1" applyFont="1" applyBorder="1"/>
    <xf numFmtId="164" fontId="5" fillId="0" borderId="17" xfId="0" applyNumberFormat="1" applyFont="1" applyBorder="1"/>
    <xf numFmtId="0" fontId="0" fillId="0" borderId="18" xfId="0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64" fontId="0" fillId="0" borderId="2" xfId="0" applyNumberFormat="1" applyBorder="1"/>
    <xf numFmtId="0" fontId="0" fillId="0" borderId="2" xfId="0" applyBorder="1"/>
    <xf numFmtId="164" fontId="5" fillId="0" borderId="2" xfId="0" applyNumberFormat="1" applyFont="1" applyBorder="1"/>
    <xf numFmtId="164" fontId="0" fillId="0" borderId="19" xfId="0" applyNumberFormat="1" applyBorder="1"/>
    <xf numFmtId="164" fontId="5" fillId="0" borderId="20" xfId="0" applyNumberFormat="1" applyFont="1" applyBorder="1"/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center" wrapText="1"/>
    </xf>
    <xf numFmtId="164" fontId="4" fillId="0" borderId="10" xfId="0" applyNumberFormat="1" applyFont="1" applyBorder="1"/>
    <xf numFmtId="164" fontId="4" fillId="0" borderId="2" xfId="0" applyNumberFormat="1" applyFont="1" applyBorder="1"/>
    <xf numFmtId="164" fontId="4" fillId="0" borderId="15" xfId="0" applyNumberFormat="1" applyFont="1" applyBorder="1"/>
    <xf numFmtId="164" fontId="4" fillId="0" borderId="19" xfId="0" applyNumberFormat="1" applyFont="1" applyBorder="1"/>
    <xf numFmtId="164" fontId="4" fillId="0" borderId="3" xfId="0" applyNumberFormat="1" applyFont="1" applyBorder="1"/>
    <xf numFmtId="164" fontId="4" fillId="0" borderId="1" xfId="0" applyNumberFormat="1" applyFont="1" applyBorder="1"/>
    <xf numFmtId="0" fontId="0" fillId="0" borderId="18" xfId="0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25" workbookViewId="0">
      <selection activeCell="A31" sqref="A31"/>
    </sheetView>
  </sheetViews>
  <sheetFormatPr baseColWidth="10" defaultRowHeight="15" x14ac:dyDescent="0.25"/>
  <cols>
    <col min="1" max="1" width="28.85546875" style="2" customWidth="1"/>
    <col min="2" max="2" width="41.28515625" style="2" customWidth="1"/>
    <col min="3" max="3" width="51.85546875" customWidth="1"/>
    <col min="4" max="4" width="13.7109375" customWidth="1"/>
    <col min="5" max="5" width="13.42578125" customWidth="1"/>
    <col min="14" max="14" width="22.7109375" customWidth="1"/>
    <col min="15" max="15" width="21.42578125" customWidth="1"/>
    <col min="16" max="16" width="17" customWidth="1"/>
  </cols>
  <sheetData>
    <row r="1" spans="1:16" ht="31.5" x14ac:dyDescent="0.35">
      <c r="A1" s="23" t="s">
        <v>0</v>
      </c>
      <c r="C1" s="47" t="s">
        <v>0</v>
      </c>
    </row>
    <row r="2" spans="1:16" ht="31.5" x14ac:dyDescent="0.35">
      <c r="A2" s="23" t="s">
        <v>1</v>
      </c>
      <c r="C2" s="47" t="s">
        <v>92</v>
      </c>
    </row>
    <row r="3" spans="1:16" ht="30" x14ac:dyDescent="0.25">
      <c r="A3" s="23" t="s">
        <v>2</v>
      </c>
      <c r="D3" s="4" t="s">
        <v>24</v>
      </c>
    </row>
    <row r="4" spans="1:16" x14ac:dyDescent="0.25">
      <c r="D4" s="4">
        <v>2023</v>
      </c>
      <c r="E4" s="4">
        <v>2024</v>
      </c>
      <c r="F4" s="4">
        <v>2025</v>
      </c>
      <c r="G4" s="4">
        <v>2026</v>
      </c>
      <c r="H4" s="4">
        <v>2027</v>
      </c>
      <c r="I4" s="4">
        <v>2028</v>
      </c>
      <c r="J4" s="4">
        <v>2029</v>
      </c>
      <c r="K4" s="4">
        <v>2030</v>
      </c>
      <c r="L4" s="4">
        <v>2031</v>
      </c>
      <c r="M4" s="4">
        <v>2032</v>
      </c>
    </row>
    <row r="5" spans="1:16" s="1" customFormat="1" ht="30.75" thickBot="1" x14ac:dyDescent="0.3">
      <c r="A5" s="23" t="s">
        <v>5</v>
      </c>
      <c r="B5" s="23" t="s">
        <v>6</v>
      </c>
      <c r="C5" s="4" t="s">
        <v>11</v>
      </c>
      <c r="D5" s="4" t="s">
        <v>10</v>
      </c>
      <c r="E5" s="4" t="s">
        <v>13</v>
      </c>
      <c r="F5" s="4" t="s">
        <v>14</v>
      </c>
      <c r="G5" s="4" t="s">
        <v>15</v>
      </c>
      <c r="H5" s="4" t="s">
        <v>16</v>
      </c>
      <c r="I5" s="4" t="s">
        <v>17</v>
      </c>
      <c r="J5" s="4" t="s">
        <v>18</v>
      </c>
      <c r="K5" s="4" t="s">
        <v>19</v>
      </c>
      <c r="L5" s="4" t="s">
        <v>20</v>
      </c>
      <c r="M5" s="4" t="s">
        <v>21</v>
      </c>
      <c r="N5" s="23" t="s">
        <v>49</v>
      </c>
    </row>
    <row r="6" spans="1:16" ht="30.75" thickBot="1" x14ac:dyDescent="0.3">
      <c r="A6" s="29" t="s">
        <v>3</v>
      </c>
      <c r="B6" s="30" t="s">
        <v>4</v>
      </c>
      <c r="C6" s="44" t="s">
        <v>74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7">
        <f>SUM(D6:M6)</f>
        <v>0</v>
      </c>
      <c r="O6" s="28" t="s">
        <v>31</v>
      </c>
      <c r="P6" s="8">
        <v>0</v>
      </c>
    </row>
    <row r="7" spans="1:16" x14ac:dyDescent="0.25">
      <c r="A7" s="48" t="s">
        <v>7</v>
      </c>
      <c r="B7" s="50" t="s">
        <v>8</v>
      </c>
      <c r="C7" s="24" t="s">
        <v>12</v>
      </c>
      <c r="D7" s="25">
        <v>0</v>
      </c>
      <c r="E7" s="25">
        <f>1600*1.2</f>
        <v>1920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f>1600*1.2</f>
        <v>1920</v>
      </c>
      <c r="N7" s="26">
        <f>SUM(D7:M7)</f>
        <v>3840</v>
      </c>
      <c r="O7" s="16"/>
      <c r="P7" s="17"/>
    </row>
    <row r="8" spans="1:16" x14ac:dyDescent="0.25">
      <c r="A8" s="48"/>
      <c r="B8" s="50"/>
      <c r="C8" s="9" t="s">
        <v>22</v>
      </c>
      <c r="D8" s="10">
        <v>0</v>
      </c>
      <c r="E8" s="10">
        <f>700*1.2</f>
        <v>840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f>1.2*700</f>
        <v>840</v>
      </c>
      <c r="N8" s="11">
        <f>SUM(D8:M8)</f>
        <v>1680</v>
      </c>
      <c r="O8" s="16"/>
      <c r="P8" s="17"/>
    </row>
    <row r="9" spans="1:16" ht="15.75" thickBot="1" x14ac:dyDescent="0.3">
      <c r="A9" s="49"/>
      <c r="B9" s="51"/>
      <c r="C9" s="18" t="s">
        <v>23</v>
      </c>
      <c r="D9" s="19">
        <v>0</v>
      </c>
      <c r="E9" s="19">
        <f>700*1.2</f>
        <v>840</v>
      </c>
      <c r="F9" s="19">
        <f t="shared" ref="F9:M9" si="0">700*1.2</f>
        <v>840</v>
      </c>
      <c r="G9" s="19">
        <f t="shared" si="0"/>
        <v>840</v>
      </c>
      <c r="H9" s="19">
        <f t="shared" si="0"/>
        <v>840</v>
      </c>
      <c r="I9" s="19">
        <f t="shared" si="0"/>
        <v>840</v>
      </c>
      <c r="J9" s="19">
        <f t="shared" si="0"/>
        <v>840</v>
      </c>
      <c r="K9" s="19">
        <f t="shared" si="0"/>
        <v>840</v>
      </c>
      <c r="L9" s="19">
        <f t="shared" si="0"/>
        <v>840</v>
      </c>
      <c r="M9" s="19">
        <f t="shared" si="0"/>
        <v>840</v>
      </c>
      <c r="N9" s="20">
        <f>SUM(D9:M9)</f>
        <v>7560</v>
      </c>
      <c r="O9" s="21" t="s">
        <v>32</v>
      </c>
      <c r="P9" s="22">
        <f>N7+N8+N9</f>
        <v>13080</v>
      </c>
    </row>
    <row r="10" spans="1:16" x14ac:dyDescent="0.25">
      <c r="A10" s="52" t="s">
        <v>25</v>
      </c>
      <c r="B10" s="53" t="s">
        <v>26</v>
      </c>
      <c r="C10" s="13" t="s">
        <v>93</v>
      </c>
      <c r="D10" s="38">
        <v>0</v>
      </c>
      <c r="E10" s="38">
        <f>15*1.2*64380</f>
        <v>1158840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27">
        <f>SUM(D10:M10)</f>
        <v>1158840</v>
      </c>
      <c r="O10" s="12"/>
      <c r="P10" s="15"/>
    </row>
    <row r="11" spans="1:16" x14ac:dyDescent="0.25">
      <c r="A11" s="48"/>
      <c r="B11" s="50"/>
      <c r="C11" s="24" t="s">
        <v>27</v>
      </c>
      <c r="D11" s="42">
        <v>0</v>
      </c>
      <c r="E11" s="42">
        <f>30*32190</f>
        <v>965700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11">
        <f t="shared" ref="N11:N12" si="1">SUM(D11:M11)</f>
        <v>965700</v>
      </c>
      <c r="O11" s="16"/>
      <c r="P11" s="17"/>
    </row>
    <row r="12" spans="1:16" x14ac:dyDescent="0.25">
      <c r="A12" s="48"/>
      <c r="B12" s="50"/>
      <c r="C12" s="24" t="s">
        <v>28</v>
      </c>
      <c r="D12" s="42">
        <v>0</v>
      </c>
      <c r="E12" s="42">
        <f>95000*1.2</f>
        <v>114000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11">
        <f t="shared" si="1"/>
        <v>114000</v>
      </c>
      <c r="O12" s="16"/>
      <c r="P12" s="17"/>
    </row>
    <row r="13" spans="1:16" x14ac:dyDescent="0.25">
      <c r="A13" s="48"/>
      <c r="B13" s="50"/>
      <c r="C13" s="9" t="s">
        <v>29</v>
      </c>
      <c r="D13" s="43">
        <v>0</v>
      </c>
      <c r="E13" s="43">
        <f>600</f>
        <v>600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f t="shared" ref="N13:N20" si="2">SUM(D13:M13)</f>
        <v>600</v>
      </c>
      <c r="O13" s="16"/>
      <c r="P13" s="17"/>
    </row>
    <row r="14" spans="1:16" ht="15.75" thickBot="1" x14ac:dyDescent="0.3">
      <c r="A14" s="49"/>
      <c r="B14" s="51"/>
      <c r="C14" s="18" t="s">
        <v>30</v>
      </c>
      <c r="D14" s="40">
        <v>0</v>
      </c>
      <c r="E14" s="40">
        <v>960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20">
        <f t="shared" si="2"/>
        <v>960</v>
      </c>
      <c r="O14" s="21" t="s">
        <v>33</v>
      </c>
      <c r="P14" s="22">
        <f>N10+N11+N12+N13+N14</f>
        <v>2240100</v>
      </c>
    </row>
    <row r="15" spans="1:16" x14ac:dyDescent="0.25">
      <c r="A15" s="52" t="s">
        <v>34</v>
      </c>
      <c r="B15" s="53" t="s">
        <v>35</v>
      </c>
      <c r="C15" s="13" t="s">
        <v>36</v>
      </c>
      <c r="D15" s="38">
        <v>0</v>
      </c>
      <c r="E15" s="38">
        <f>2500*1.2</f>
        <v>3000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27">
        <f t="shared" si="2"/>
        <v>3000</v>
      </c>
      <c r="O15" s="12"/>
      <c r="P15" s="15"/>
    </row>
    <row r="16" spans="1:16" ht="15" customHeight="1" thickBot="1" x14ac:dyDescent="0.3">
      <c r="A16" s="48"/>
      <c r="B16" s="50"/>
      <c r="C16" s="32" t="s">
        <v>37</v>
      </c>
      <c r="D16" s="39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3">
        <f t="shared" si="2"/>
        <v>0</v>
      </c>
      <c r="O16" s="21" t="s">
        <v>40</v>
      </c>
      <c r="P16" s="22">
        <f>N15+N16</f>
        <v>3000</v>
      </c>
    </row>
    <row r="17" spans="1:16" ht="30.75" thickBot="1" x14ac:dyDescent="0.3">
      <c r="A17" s="29" t="s">
        <v>38</v>
      </c>
      <c r="B17" s="30" t="s">
        <v>42</v>
      </c>
      <c r="C17" s="36" t="s">
        <v>9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5">
        <f t="shared" si="2"/>
        <v>0</v>
      </c>
      <c r="O17" s="6" t="s">
        <v>39</v>
      </c>
      <c r="P17" s="8">
        <v>0</v>
      </c>
    </row>
    <row r="18" spans="1:16" ht="30.75" thickBot="1" x14ac:dyDescent="0.3">
      <c r="A18" s="29" t="s">
        <v>41</v>
      </c>
      <c r="B18" s="30" t="s">
        <v>43</v>
      </c>
      <c r="C18" s="36" t="s">
        <v>9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f t="shared" si="2"/>
        <v>0</v>
      </c>
      <c r="O18" s="6" t="s">
        <v>44</v>
      </c>
      <c r="P18" s="8">
        <v>0</v>
      </c>
    </row>
    <row r="19" spans="1:16" ht="30.75" thickBot="1" x14ac:dyDescent="0.3">
      <c r="A19" s="29" t="s">
        <v>45</v>
      </c>
      <c r="B19" s="30" t="s">
        <v>47</v>
      </c>
      <c r="C19" s="37" t="s">
        <v>46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5">
        <f t="shared" si="2"/>
        <v>0</v>
      </c>
      <c r="O19" s="6" t="s">
        <v>48</v>
      </c>
      <c r="P19" s="8">
        <v>0</v>
      </c>
    </row>
    <row r="20" spans="1:16" x14ac:dyDescent="0.25">
      <c r="A20" s="52" t="s">
        <v>50</v>
      </c>
      <c r="B20" s="53" t="s">
        <v>51</v>
      </c>
      <c r="C20" s="13" t="s">
        <v>36</v>
      </c>
      <c r="D20" s="14">
        <v>0</v>
      </c>
      <c r="E20" s="14">
        <f>1.2*2600</f>
        <v>3120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27">
        <f t="shared" si="2"/>
        <v>3120</v>
      </c>
      <c r="O20" s="12"/>
      <c r="P20" s="15"/>
    </row>
    <row r="21" spans="1:16" x14ac:dyDescent="0.25">
      <c r="A21" s="48"/>
      <c r="B21" s="50"/>
      <c r="C21" s="24" t="s">
        <v>52</v>
      </c>
      <c r="D21" s="25">
        <v>0</v>
      </c>
      <c r="E21" s="25">
        <f>1.2*9975</f>
        <v>11970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11">
        <f t="shared" ref="N21" si="3">SUM(D21:M21)</f>
        <v>11970</v>
      </c>
      <c r="O21" s="16"/>
      <c r="P21" s="17"/>
    </row>
    <row r="22" spans="1:16" x14ac:dyDescent="0.25">
      <c r="A22" s="48"/>
      <c r="B22" s="50"/>
      <c r="C22" s="9" t="s">
        <v>53</v>
      </c>
      <c r="D22" s="10">
        <v>0</v>
      </c>
      <c r="E22" s="10">
        <f>1.2*4200</f>
        <v>5040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1">
        <f t="shared" ref="N22:N35" si="4">SUM(D22:M22)</f>
        <v>5040</v>
      </c>
      <c r="O22" s="16"/>
      <c r="P22" s="17"/>
    </row>
    <row r="23" spans="1:16" ht="15.75" thickBot="1" x14ac:dyDescent="0.3">
      <c r="A23" s="49"/>
      <c r="B23" s="51"/>
      <c r="C23" s="18" t="s">
        <v>54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f t="shared" si="4"/>
        <v>0</v>
      </c>
      <c r="O23" s="21" t="s">
        <v>55</v>
      </c>
      <c r="P23" s="22">
        <f>N20+N21+N22+N23</f>
        <v>20130</v>
      </c>
    </row>
    <row r="24" spans="1:16" x14ac:dyDescent="0.25">
      <c r="A24" s="52" t="s">
        <v>56</v>
      </c>
      <c r="B24" s="53" t="s">
        <v>57</v>
      </c>
      <c r="C24" s="13" t="s">
        <v>36</v>
      </c>
      <c r="D24" s="14">
        <v>0</v>
      </c>
      <c r="E24" s="14">
        <f>1.2*700</f>
        <v>840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27">
        <f t="shared" si="4"/>
        <v>840</v>
      </c>
      <c r="O24" s="12"/>
      <c r="P24" s="15"/>
    </row>
    <row r="25" spans="1:16" ht="15" customHeight="1" thickBot="1" x14ac:dyDescent="0.3">
      <c r="A25" s="49"/>
      <c r="B25" s="51"/>
      <c r="C25" s="18" t="s">
        <v>37</v>
      </c>
      <c r="D25" s="19">
        <v>0</v>
      </c>
      <c r="E25" s="19">
        <f>1.2*1400</f>
        <v>1680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20">
        <f t="shared" si="4"/>
        <v>1680</v>
      </c>
      <c r="O25" s="21" t="s">
        <v>58</v>
      </c>
      <c r="P25" s="22">
        <f>N24+N25</f>
        <v>2520</v>
      </c>
    </row>
    <row r="26" spans="1:16" ht="33" customHeight="1" thickBot="1" x14ac:dyDescent="0.3">
      <c r="A26" s="29" t="s">
        <v>59</v>
      </c>
      <c r="B26" s="30" t="s">
        <v>60</v>
      </c>
      <c r="C26" s="37" t="s">
        <v>94</v>
      </c>
      <c r="D26" s="34">
        <f>4800*1.2</f>
        <v>5760</v>
      </c>
      <c r="E26" s="34">
        <f t="shared" ref="E26:G26" si="5">4800*1.2</f>
        <v>5760</v>
      </c>
      <c r="F26" s="34">
        <f t="shared" si="5"/>
        <v>5760</v>
      </c>
      <c r="G26" s="34">
        <f t="shared" si="5"/>
        <v>5760</v>
      </c>
      <c r="H26" s="34">
        <v>0</v>
      </c>
      <c r="I26" s="34">
        <v>0</v>
      </c>
      <c r="J26" s="34">
        <v>0</v>
      </c>
      <c r="K26" s="34">
        <v>0</v>
      </c>
      <c r="L26" s="34">
        <f>4800*1.2</f>
        <v>5760</v>
      </c>
      <c r="M26" s="34">
        <v>0</v>
      </c>
      <c r="N26" s="35">
        <f t="shared" si="4"/>
        <v>28800</v>
      </c>
      <c r="O26" s="6" t="s">
        <v>61</v>
      </c>
      <c r="P26" s="8">
        <f>N26</f>
        <v>28800</v>
      </c>
    </row>
    <row r="27" spans="1:16" x14ac:dyDescent="0.25">
      <c r="A27" s="52" t="s">
        <v>62</v>
      </c>
      <c r="B27" s="53" t="s">
        <v>63</v>
      </c>
      <c r="C27" s="13" t="s">
        <v>64</v>
      </c>
      <c r="D27" s="38">
        <f>1.2*26400</f>
        <v>31680</v>
      </c>
      <c r="E27" s="38">
        <f t="shared" ref="E27:F27" si="6">1.2*26400</f>
        <v>31680</v>
      </c>
      <c r="F27" s="38">
        <f t="shared" si="6"/>
        <v>31680</v>
      </c>
      <c r="G27" s="14">
        <v>0</v>
      </c>
      <c r="H27" s="14">
        <v>0</v>
      </c>
      <c r="I27" s="14">
        <f>1.2*26400</f>
        <v>31680</v>
      </c>
      <c r="J27" s="14">
        <v>0</v>
      </c>
      <c r="K27" s="14">
        <f>1.2*26400</f>
        <v>31680</v>
      </c>
      <c r="L27" s="14">
        <v>0</v>
      </c>
      <c r="M27" s="14">
        <f>1.2*26400</f>
        <v>31680</v>
      </c>
      <c r="N27" s="27">
        <f t="shared" si="4"/>
        <v>190080</v>
      </c>
      <c r="O27" s="12"/>
      <c r="P27" s="15"/>
    </row>
    <row r="28" spans="1:16" ht="23.25" customHeight="1" thickBot="1" x14ac:dyDescent="0.3">
      <c r="A28" s="49"/>
      <c r="B28" s="51"/>
      <c r="C28" s="18" t="s">
        <v>65</v>
      </c>
      <c r="D28" s="40">
        <f>1.2*2750</f>
        <v>3300</v>
      </c>
      <c r="E28" s="40">
        <f>1.2*2750</f>
        <v>3300</v>
      </c>
      <c r="F28" s="40">
        <f>1.2*2750</f>
        <v>3300</v>
      </c>
      <c r="G28" s="19">
        <v>0</v>
      </c>
      <c r="H28" s="19">
        <v>0</v>
      </c>
      <c r="I28" s="19">
        <f>1.2*2750</f>
        <v>3300</v>
      </c>
      <c r="J28" s="19">
        <v>0</v>
      </c>
      <c r="K28" s="19">
        <f>1.2*2750</f>
        <v>3300</v>
      </c>
      <c r="L28" s="19">
        <v>0</v>
      </c>
      <c r="M28" s="19">
        <f>1.2*2750</f>
        <v>3300</v>
      </c>
      <c r="N28" s="20">
        <f t="shared" si="4"/>
        <v>19800</v>
      </c>
      <c r="O28" s="21" t="s">
        <v>66</v>
      </c>
      <c r="P28" s="22">
        <f>N27+N28</f>
        <v>209880</v>
      </c>
    </row>
    <row r="29" spans="1:16" ht="33" customHeight="1" thickBot="1" x14ac:dyDescent="0.3">
      <c r="A29" s="29" t="s">
        <v>67</v>
      </c>
      <c r="B29" s="30" t="s">
        <v>68</v>
      </c>
      <c r="C29" s="37" t="s">
        <v>95</v>
      </c>
      <c r="D29" s="41">
        <f>1.2*2400</f>
        <v>2880</v>
      </c>
      <c r="E29" s="41">
        <f t="shared" ref="E29:G29" si="7">1.2*2400</f>
        <v>2880</v>
      </c>
      <c r="F29" s="41">
        <f t="shared" si="7"/>
        <v>2880</v>
      </c>
      <c r="G29" s="41">
        <f t="shared" si="7"/>
        <v>2880</v>
      </c>
      <c r="H29" s="34">
        <v>0</v>
      </c>
      <c r="I29" s="34">
        <v>0</v>
      </c>
      <c r="J29" s="34">
        <v>0</v>
      </c>
      <c r="K29" s="34">
        <v>0</v>
      </c>
      <c r="L29" s="34">
        <f>2400*1.2</f>
        <v>2880</v>
      </c>
      <c r="M29" s="34">
        <v>0</v>
      </c>
      <c r="N29" s="35">
        <f t="shared" si="4"/>
        <v>14400</v>
      </c>
      <c r="O29" s="6" t="s">
        <v>69</v>
      </c>
      <c r="P29" s="8">
        <f t="shared" ref="P29:P35" si="8">N29</f>
        <v>14400</v>
      </c>
    </row>
    <row r="30" spans="1:16" ht="33" customHeight="1" thickBot="1" x14ac:dyDescent="0.3">
      <c r="A30" s="29" t="s">
        <v>70</v>
      </c>
      <c r="B30" s="30" t="s">
        <v>71</v>
      </c>
      <c r="C30" s="36" t="s">
        <v>73</v>
      </c>
      <c r="D30" s="41">
        <f>2000*1.2</f>
        <v>2400</v>
      </c>
      <c r="E30" s="41">
        <f t="shared" ref="E30:G31" si="9">2000*1.2</f>
        <v>2400</v>
      </c>
      <c r="F30" s="41">
        <f t="shared" si="9"/>
        <v>2400</v>
      </c>
      <c r="G30" s="41">
        <f t="shared" si="9"/>
        <v>2400</v>
      </c>
      <c r="H30" s="41">
        <v>0</v>
      </c>
      <c r="I30" s="34">
        <v>0</v>
      </c>
      <c r="J30" s="34">
        <v>0</v>
      </c>
      <c r="K30" s="34">
        <v>0</v>
      </c>
      <c r="L30" s="34">
        <f>2000*1.2</f>
        <v>2400</v>
      </c>
      <c r="M30" s="34">
        <v>0</v>
      </c>
      <c r="N30" s="35">
        <f t="shared" si="4"/>
        <v>12000</v>
      </c>
      <c r="O30" s="6" t="s">
        <v>72</v>
      </c>
      <c r="P30" s="8">
        <f t="shared" si="8"/>
        <v>12000</v>
      </c>
    </row>
    <row r="31" spans="1:16" ht="33" customHeight="1" thickBot="1" x14ac:dyDescent="0.3">
      <c r="A31" s="29" t="s">
        <v>75</v>
      </c>
      <c r="B31" s="30" t="s">
        <v>76</v>
      </c>
      <c r="C31" s="36" t="s">
        <v>73</v>
      </c>
      <c r="D31" s="41">
        <f>2000*1.2</f>
        <v>2400</v>
      </c>
      <c r="E31" s="41">
        <f t="shared" si="9"/>
        <v>2400</v>
      </c>
      <c r="F31" s="41">
        <f t="shared" si="9"/>
        <v>2400</v>
      </c>
      <c r="G31" s="41">
        <f t="shared" si="9"/>
        <v>2400</v>
      </c>
      <c r="H31" s="34">
        <v>0</v>
      </c>
      <c r="I31" s="34">
        <v>0</v>
      </c>
      <c r="J31" s="34">
        <v>0</v>
      </c>
      <c r="K31" s="34">
        <v>0</v>
      </c>
      <c r="L31" s="34">
        <f>2000*1.2</f>
        <v>2400</v>
      </c>
      <c r="M31" s="34">
        <v>0</v>
      </c>
      <c r="N31" s="35">
        <f t="shared" si="4"/>
        <v>12000</v>
      </c>
      <c r="O31" s="6" t="s">
        <v>80</v>
      </c>
      <c r="P31" s="8">
        <f t="shared" si="8"/>
        <v>12000</v>
      </c>
    </row>
    <row r="32" spans="1:16" ht="33" customHeight="1" thickBot="1" x14ac:dyDescent="0.3">
      <c r="A32" s="29" t="s">
        <v>77</v>
      </c>
      <c r="B32" s="30" t="s">
        <v>78</v>
      </c>
      <c r="C32" s="37" t="s">
        <v>96</v>
      </c>
      <c r="D32" s="41">
        <f>5600*1.2</f>
        <v>6720</v>
      </c>
      <c r="E32" s="41">
        <f t="shared" ref="E32:G32" si="10">5600*1.2</f>
        <v>6720</v>
      </c>
      <c r="F32" s="41">
        <f t="shared" si="10"/>
        <v>6720</v>
      </c>
      <c r="G32" s="41">
        <f t="shared" si="10"/>
        <v>6720</v>
      </c>
      <c r="H32" s="34">
        <v>0</v>
      </c>
      <c r="I32" s="34">
        <v>0</v>
      </c>
      <c r="J32" s="34">
        <v>0</v>
      </c>
      <c r="K32" s="34">
        <v>0</v>
      </c>
      <c r="L32" s="34">
        <f>5600*1.2</f>
        <v>6720</v>
      </c>
      <c r="M32" s="34">
        <v>0</v>
      </c>
      <c r="N32" s="35">
        <f t="shared" si="4"/>
        <v>33600</v>
      </c>
      <c r="O32" s="6" t="s">
        <v>79</v>
      </c>
      <c r="P32" s="8">
        <f t="shared" si="8"/>
        <v>33600</v>
      </c>
    </row>
    <row r="33" spans="1:16" ht="33" customHeight="1" thickBot="1" x14ac:dyDescent="0.3">
      <c r="A33" s="29" t="s">
        <v>81</v>
      </c>
      <c r="B33" s="30" t="s">
        <v>82</v>
      </c>
      <c r="C33" s="37" t="s">
        <v>97</v>
      </c>
      <c r="D33" s="41">
        <v>0</v>
      </c>
      <c r="E33" s="41">
        <v>0</v>
      </c>
      <c r="F33" s="41">
        <v>0</v>
      </c>
      <c r="G33" s="41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5">
        <f t="shared" si="4"/>
        <v>0</v>
      </c>
      <c r="O33" s="6" t="s">
        <v>87</v>
      </c>
      <c r="P33" s="8">
        <f t="shared" si="8"/>
        <v>0</v>
      </c>
    </row>
    <row r="34" spans="1:16" ht="33" customHeight="1" thickBot="1" x14ac:dyDescent="0.3">
      <c r="A34" s="29" t="s">
        <v>83</v>
      </c>
      <c r="B34" s="30" t="s">
        <v>84</v>
      </c>
      <c r="C34" s="37" t="s">
        <v>98</v>
      </c>
      <c r="D34" s="41">
        <f>4000*1.2</f>
        <v>4800</v>
      </c>
      <c r="E34" s="41">
        <f t="shared" ref="E34:G34" si="11">4000*1.2</f>
        <v>4800</v>
      </c>
      <c r="F34" s="41">
        <f t="shared" si="11"/>
        <v>4800</v>
      </c>
      <c r="G34" s="41">
        <f t="shared" si="11"/>
        <v>4800</v>
      </c>
      <c r="H34" s="34">
        <v>0</v>
      </c>
      <c r="I34" s="34">
        <v>0</v>
      </c>
      <c r="J34" s="34">
        <v>0</v>
      </c>
      <c r="K34" s="34">
        <v>0</v>
      </c>
      <c r="L34" s="34">
        <f>4000*1.2</f>
        <v>4800</v>
      </c>
      <c r="M34" s="34">
        <v>0</v>
      </c>
      <c r="N34" s="35">
        <f t="shared" si="4"/>
        <v>24000</v>
      </c>
      <c r="O34" s="6" t="s">
        <v>88</v>
      </c>
      <c r="P34" s="8">
        <f t="shared" si="8"/>
        <v>24000</v>
      </c>
    </row>
    <row r="35" spans="1:16" ht="33" customHeight="1" thickBot="1" x14ac:dyDescent="0.3">
      <c r="A35" s="29" t="s">
        <v>85</v>
      </c>
      <c r="B35" s="30" t="s">
        <v>86</v>
      </c>
      <c r="C35" s="37" t="s">
        <v>99</v>
      </c>
      <c r="D35" s="41">
        <f>6400*1.2</f>
        <v>7680</v>
      </c>
      <c r="E35" s="41">
        <f t="shared" ref="E35:G35" si="12">6400*1.2</f>
        <v>7680</v>
      </c>
      <c r="F35" s="41">
        <f t="shared" si="12"/>
        <v>7680</v>
      </c>
      <c r="G35" s="41">
        <f t="shared" si="12"/>
        <v>7680</v>
      </c>
      <c r="H35" s="34">
        <v>0</v>
      </c>
      <c r="I35" s="34">
        <v>0</v>
      </c>
      <c r="J35" s="34">
        <v>0</v>
      </c>
      <c r="K35" s="34">
        <v>0</v>
      </c>
      <c r="L35" s="34">
        <f>6400*1.2</f>
        <v>7680</v>
      </c>
      <c r="M35" s="34">
        <v>0</v>
      </c>
      <c r="N35" s="35">
        <f t="shared" si="4"/>
        <v>38400</v>
      </c>
      <c r="O35" s="6" t="s">
        <v>89</v>
      </c>
      <c r="P35" s="8">
        <f t="shared" si="8"/>
        <v>38400</v>
      </c>
    </row>
    <row r="37" spans="1:16" s="3" customFormat="1" x14ac:dyDescent="0.25">
      <c r="A37" s="23"/>
      <c r="B37" s="23"/>
      <c r="C37" s="45" t="s">
        <v>90</v>
      </c>
      <c r="D37" s="5">
        <f>SUM(D6:D36)</f>
        <v>67620</v>
      </c>
      <c r="E37" s="5">
        <f t="shared" ref="E37:M37" si="13">SUM(E6:E36)</f>
        <v>2336970</v>
      </c>
      <c r="F37" s="5">
        <f t="shared" si="13"/>
        <v>68460</v>
      </c>
      <c r="G37" s="5">
        <f t="shared" si="13"/>
        <v>33480</v>
      </c>
      <c r="H37" s="5">
        <f t="shared" si="13"/>
        <v>840</v>
      </c>
      <c r="I37" s="5">
        <f t="shared" si="13"/>
        <v>35820</v>
      </c>
      <c r="J37" s="5">
        <f t="shared" si="13"/>
        <v>840</v>
      </c>
      <c r="K37" s="5">
        <f t="shared" si="13"/>
        <v>35820</v>
      </c>
      <c r="L37" s="5">
        <f t="shared" si="13"/>
        <v>33480</v>
      </c>
      <c r="M37" s="5">
        <f t="shared" si="13"/>
        <v>38580</v>
      </c>
      <c r="N37" s="5"/>
      <c r="O37" s="46" t="s">
        <v>91</v>
      </c>
      <c r="P37" s="5">
        <f>SUM(P6:P35)</f>
        <v>2651910</v>
      </c>
    </row>
  </sheetData>
  <mergeCells count="12">
    <mergeCell ref="A20:A23"/>
    <mergeCell ref="B20:B23"/>
    <mergeCell ref="A24:A25"/>
    <mergeCell ref="B24:B25"/>
    <mergeCell ref="A27:A28"/>
    <mergeCell ref="B27:B28"/>
    <mergeCell ref="A7:A9"/>
    <mergeCell ref="B7:B9"/>
    <mergeCell ref="A10:A14"/>
    <mergeCell ref="B10:B14"/>
    <mergeCell ref="A15:A16"/>
    <mergeCell ref="B15:B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EDE35313AF8245B85331F246CC79B0" ma:contentTypeVersion="1" ma:contentTypeDescription="Crée un document." ma:contentTypeScope="" ma:versionID="d9f8cd3e1028e973bb57b93a8ffde054">
  <xsd:schema xmlns:xsd="http://www.w3.org/2001/XMLSchema" xmlns:xs="http://www.w3.org/2001/XMLSchema" xmlns:p="http://schemas.microsoft.com/office/2006/metadata/properties" xmlns:ns2="6ce68c48-a04f-42c6-9fe0-991be9dece5d" targetNamespace="http://schemas.microsoft.com/office/2006/metadata/properties" ma:root="true" ma:fieldsID="0674282bd9038ca1aaf3b1150d3393cb" ns2:_="">
    <xsd:import namespace="6ce68c48-a04f-42c6-9fe0-991be9dece5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e68c48-a04f-42c6-9fe0-991be9dece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2AF11E-A530-43E0-A597-4EE25DBC6D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277857-22EA-418F-AD6C-2462784F2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e68c48-a04f-42c6-9fe0-991be9dece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3B7A5B-DAD9-4F47-8764-A39EFF7F1B2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ce68c48-a04f-42c6-9fe0-991be9dece5d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Plan_gestion_dépôt_(CAPSE)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DEYDIER Nicolas LTN</dc:creator>
  <cp:lastModifiedBy>DE CROZALS Roselyne SA CL NORMALE DEF</cp:lastModifiedBy>
  <cp:lastPrinted>2018-11-26T14:26:06Z</cp:lastPrinted>
  <dcterms:created xsi:type="dcterms:W3CDTF">2018-08-03T09:16:34Z</dcterms:created>
  <dcterms:modified xsi:type="dcterms:W3CDTF">2025-01-22T12:02:13Z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0x010100A8EDE35313AF8245B85331F246CC79B0</vt:lpwstr>
  </property>
</Properties>
</file>