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11_OPERATIONS\SENAT\23_150_Palais_Façade Nord\08_CONSULTATIONS\01_DCE\Définitif\"/>
    </mc:Choice>
  </mc:AlternateContent>
  <xr:revisionPtr revIDLastSave="0" documentId="13_ncr:1_{1C4D07EF-53A5-4503-B995-E9C96BCD0E36}" xr6:coauthVersionLast="47" xr6:coauthVersionMax="47" xr10:uidLastSave="{00000000-0000-0000-0000-000000000000}"/>
  <bookViews>
    <workbookView xWindow="-120" yWindow="-120" windowWidth="29040" windowHeight="15840" tabRatio="817" activeTab="3" xr2:uid="{00000000-000D-0000-FFFF-FFFF00000000}"/>
  </bookViews>
  <sheets>
    <sheet name="PG" sheetId="37" r:id="rId1"/>
    <sheet name=" LOT 04 -TF " sheetId="34" r:id="rId2"/>
    <sheet name="LOT 04 - TO 1 " sheetId="35" r:id="rId3"/>
    <sheet name="LOT 04 -TO 2 " sheetId="36" r:id="rId4"/>
  </sheets>
  <externalReferences>
    <externalReference r:id="rId5"/>
    <externalReference r:id="rId6"/>
  </externalReferences>
  <definedNames>
    <definedName name="________b2">'[1]Hono TF'!#REF!</definedName>
    <definedName name="________b3">'[1]Hono TF'!#REF!</definedName>
    <definedName name="________bb1">'[1]Hono TF'!#REF!</definedName>
    <definedName name="________bb3">'[1]Hono TF'!#REF!</definedName>
    <definedName name="________bb4">'[1]Hono TF'!#REF!</definedName>
    <definedName name="________bb5">'[1]Hono TF'!#REF!</definedName>
    <definedName name="________bb6">'[1]Hono TF'!#REF!</definedName>
    <definedName name="________op1">'[1]Hono TF'!#REF!</definedName>
    <definedName name="________op2">'[1]Hono TF'!#REF!</definedName>
    <definedName name="________op3">'[1]Hono TF'!#REF!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71">#REF!</definedName>
    <definedName name="_B72">#REF!</definedName>
    <definedName name="_B73">#REF!</definedName>
    <definedName name="_bb2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ba">'[1]Hono TF'!#REF!</definedName>
    <definedName name="bbv">'[1]Hono TF'!#REF!</definedName>
    <definedName name="bht">#REF!</definedName>
    <definedName name="BRA">#REF!</definedName>
    <definedName name="BRATER">#REF!</definedName>
    <definedName name="BRV">#REF!</definedName>
    <definedName name="BRVTER">#REF!</definedName>
    <definedName name="chap">#REF!</definedName>
    <definedName name="COEF_MINO">#REF!</definedName>
    <definedName name="css">'[1]Hono TF'!#REF!</definedName>
    <definedName name="CSSA">#REF!</definedName>
    <definedName name="début_sortie">#REF!</definedName>
    <definedName name="depart">'[1]Hono TF'!#REF!</definedName>
    <definedName name="dfg">#REF!</definedName>
    <definedName name="dg">#REF!</definedName>
    <definedName name="dmj">#REF!</definedName>
    <definedName name="dtcr">#REF!</definedName>
    <definedName name="e">#REF!</definedName>
    <definedName name="edi">'[1]Hono TF'!#REF!</definedName>
    <definedName name="ezatrdtyfty">#REF!</definedName>
    <definedName name="fghfgfdss">#REF!</definedName>
    <definedName name="ghfghfghf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jghj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P">#REF!</definedName>
    <definedName name="MPB">#REF!</definedName>
    <definedName name="MPT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'[1]Hono TF'!#REF!</definedName>
    <definedName name="oipjiojioyyt">#REF!</definedName>
    <definedName name="q">#REF!</definedName>
    <definedName name="reyttyf">#REF!</definedName>
    <definedName name="rz">#REF!</definedName>
    <definedName name="s">#REF!</definedName>
    <definedName name="sesese">#REF!</definedName>
    <definedName name="treoiopjipo">#REF!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v">'[1]Hono TF'!#REF!</definedName>
    <definedName name="txva">'[1]Hono TF'!#REF!</definedName>
    <definedName name="u">[2]!AfficherFormule</definedName>
    <definedName name="uytfiuygyug">#REF!</definedName>
    <definedName name="va">'[1]Hono TF'!#REF!</definedName>
    <definedName name="VIA">#REF!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1">' LOT 04 -TF '!$A$1:$N$52</definedName>
    <definedName name="_xlnm.Print_Area" localSheetId="2">'LOT 04 - TO 1 '!$A$1:$N$106</definedName>
    <definedName name="_xlnm.Print_Area" localSheetId="3">'LOT 04 -TO 2 '!$A$1:$N$143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7" i="35" l="1"/>
  <c r="A7" i="34"/>
  <c r="N139" i="36" l="1"/>
  <c r="N32" i="34" l="1"/>
  <c r="A8" i="34"/>
  <c r="A9" i="34"/>
  <c r="A10" i="34"/>
  <c r="A14" i="34"/>
  <c r="A15" i="34"/>
  <c r="A16" i="34"/>
  <c r="A17" i="34"/>
  <c r="A18" i="34"/>
  <c r="A19" i="34"/>
  <c r="A20" i="34"/>
  <c r="A21" i="34"/>
  <c r="A22" i="34"/>
  <c r="A23" i="34"/>
  <c r="A24" i="34"/>
  <c r="A25" i="34"/>
  <c r="A26" i="34"/>
  <c r="A27" i="34"/>
  <c r="A28" i="34"/>
  <c r="A29" i="34"/>
  <c r="A30" i="34"/>
  <c r="A31" i="34"/>
  <c r="A35" i="34"/>
  <c r="A37" i="34"/>
  <c r="A39" i="34"/>
  <c r="A42" i="34"/>
  <c r="A44" i="34"/>
  <c r="A46" i="34"/>
  <c r="A47" i="34"/>
  <c r="A48" i="34"/>
  <c r="A49" i="34"/>
  <c r="A50" i="34"/>
  <c r="A8" i="35"/>
  <c r="A9" i="35"/>
  <c r="A10" i="35"/>
  <c r="A14" i="35"/>
  <c r="A15" i="35"/>
  <c r="A16" i="35"/>
  <c r="A17" i="35"/>
  <c r="A18" i="35"/>
  <c r="A19" i="35"/>
  <c r="A20" i="35"/>
  <c r="A21" i="35"/>
  <c r="A22" i="35"/>
  <c r="A23" i="35"/>
  <c r="A24" i="35"/>
  <c r="A25" i="35"/>
  <c r="A26" i="35"/>
  <c r="A27" i="35"/>
  <c r="A28" i="35"/>
  <c r="A29" i="35"/>
  <c r="A31" i="35"/>
  <c r="A32" i="35"/>
  <c r="A33" i="35"/>
  <c r="A34" i="35"/>
  <c r="A35" i="35"/>
  <c r="A36" i="35"/>
  <c r="A37" i="35"/>
  <c r="A38" i="35"/>
  <c r="A39" i="35"/>
  <c r="A40" i="35"/>
  <c r="A41" i="35"/>
  <c r="A42" i="35"/>
  <c r="A43" i="35"/>
  <c r="A44" i="35"/>
  <c r="A45" i="35"/>
  <c r="A46" i="35"/>
  <c r="A47" i="35"/>
  <c r="A48" i="35"/>
  <c r="A49" i="35"/>
  <c r="A50" i="35"/>
  <c r="A51" i="35"/>
  <c r="A52" i="35"/>
  <c r="A53" i="35"/>
  <c r="A54" i="35"/>
  <c r="A55" i="35"/>
  <c r="A56" i="35"/>
  <c r="A57" i="35"/>
  <c r="A58" i="35"/>
  <c r="A59" i="35"/>
  <c r="A60" i="35"/>
  <c r="A61" i="35"/>
  <c r="A62" i="35"/>
  <c r="A63" i="35"/>
  <c r="A64" i="35"/>
  <c r="A68" i="35"/>
  <c r="A69" i="35"/>
  <c r="A70" i="35"/>
  <c r="A71" i="35"/>
  <c r="A72" i="35"/>
  <c r="A73" i="35"/>
  <c r="A74" i="35"/>
  <c r="A75" i="35"/>
  <c r="A77" i="35"/>
  <c r="A78" i="35"/>
  <c r="A79" i="35"/>
  <c r="A80" i="35"/>
  <c r="A81" i="35"/>
  <c r="A82" i="35"/>
  <c r="A83" i="35"/>
  <c r="A85" i="35"/>
  <c r="A89" i="35"/>
  <c r="A90" i="35"/>
  <c r="A91" i="35"/>
  <c r="A92" i="35"/>
  <c r="A93" i="35"/>
  <c r="A94" i="35"/>
  <c r="A95" i="35"/>
  <c r="A96" i="35"/>
  <c r="A97" i="35"/>
  <c r="A99" i="35"/>
  <c r="A101" i="35"/>
  <c r="A102" i="35"/>
  <c r="A103" i="35"/>
  <c r="A104" i="35"/>
  <c r="A105" i="35"/>
  <c r="A84" i="36" l="1"/>
  <c r="A85" i="36"/>
  <c r="A86" i="36"/>
  <c r="A87" i="36"/>
  <c r="A88" i="36"/>
  <c r="A89" i="36"/>
  <c r="A9" i="36" l="1"/>
  <c r="A10" i="36"/>
  <c r="A11" i="36"/>
  <c r="A15" i="36"/>
  <c r="A16" i="36"/>
  <c r="A17" i="36"/>
  <c r="A18" i="36"/>
  <c r="A19" i="36"/>
  <c r="A20" i="36"/>
  <c r="A21" i="36"/>
  <c r="A22" i="36"/>
  <c r="A23" i="36"/>
  <c r="A24" i="36"/>
  <c r="A25" i="36"/>
  <c r="A26" i="36"/>
  <c r="A27" i="36"/>
  <c r="A28" i="36"/>
  <c r="A30" i="36"/>
  <c r="A31" i="36"/>
  <c r="A32" i="36"/>
  <c r="A33" i="36"/>
  <c r="A34" i="36"/>
  <c r="A35" i="36"/>
  <c r="A36" i="36"/>
  <c r="A37" i="36"/>
  <c r="A38" i="36"/>
  <c r="A39" i="36"/>
  <c r="A40" i="36"/>
  <c r="A41" i="36"/>
  <c r="A42" i="36"/>
  <c r="A43" i="36"/>
  <c r="A44" i="36"/>
  <c r="A45" i="36"/>
  <c r="A46" i="36"/>
  <c r="A47" i="36"/>
  <c r="A48" i="36"/>
  <c r="A49" i="36"/>
  <c r="A50" i="36"/>
  <c r="A51" i="36"/>
  <c r="A52" i="36"/>
  <c r="A53" i="36"/>
  <c r="A54" i="36"/>
  <c r="A55" i="36"/>
  <c r="A56" i="36"/>
  <c r="A57" i="36"/>
  <c r="A58" i="36"/>
  <c r="A59" i="36"/>
  <c r="A60" i="36"/>
  <c r="A61" i="36"/>
  <c r="A62" i="36"/>
  <c r="A63" i="36"/>
  <c r="A64" i="36"/>
  <c r="A68" i="36"/>
  <c r="A69" i="36"/>
  <c r="A70" i="36"/>
  <c r="A71" i="36"/>
  <c r="A73" i="36"/>
  <c r="A74" i="36"/>
  <c r="A75" i="36"/>
  <c r="A76" i="36"/>
  <c r="A77" i="36"/>
  <c r="A78" i="36"/>
  <c r="A80" i="36"/>
  <c r="A91" i="36"/>
  <c r="A93" i="36"/>
  <c r="A94" i="36"/>
  <c r="A95" i="36"/>
  <c r="A96" i="36"/>
  <c r="A98" i="36"/>
  <c r="A99" i="36"/>
  <c r="A100" i="36"/>
  <c r="A101" i="36"/>
  <c r="A102" i="36"/>
  <c r="A103" i="36"/>
  <c r="A105" i="36"/>
  <c r="A106" i="36"/>
  <c r="A107" i="36"/>
  <c r="A108" i="36"/>
  <c r="A109" i="36"/>
  <c r="A110" i="36"/>
  <c r="A111" i="36"/>
  <c r="A112" i="36"/>
  <c r="A113" i="36"/>
  <c r="A114" i="36"/>
  <c r="A115" i="36"/>
  <c r="A116" i="36"/>
  <c r="A117" i="36"/>
  <c r="A118" i="36"/>
  <c r="A119" i="36"/>
  <c r="A120" i="36"/>
  <c r="A121" i="36"/>
  <c r="A122" i="36"/>
  <c r="A123" i="36"/>
  <c r="A124" i="36"/>
  <c r="A125" i="36"/>
  <c r="A126" i="36"/>
  <c r="A127" i="36"/>
  <c r="A128" i="36"/>
  <c r="A129" i="36"/>
  <c r="A132" i="36"/>
  <c r="A133" i="36"/>
  <c r="A134" i="36"/>
  <c r="A136" i="36"/>
  <c r="A138" i="36"/>
  <c r="A140" i="36"/>
  <c r="A141" i="36"/>
  <c r="A142" i="36"/>
  <c r="A143" i="36"/>
  <c r="N92" i="36"/>
  <c r="N90" i="36"/>
  <c r="N83" i="36"/>
  <c r="N72" i="36"/>
  <c r="N65" i="36"/>
  <c r="N29" i="36"/>
  <c r="N13" i="36"/>
  <c r="N12" i="36"/>
  <c r="N12" i="35"/>
  <c r="N11" i="35"/>
  <c r="N14" i="35"/>
  <c r="N15" i="35"/>
  <c r="N16" i="35"/>
  <c r="N17" i="35"/>
  <c r="N18" i="35"/>
  <c r="N19" i="35"/>
  <c r="N20" i="35"/>
  <c r="N21" i="35"/>
  <c r="N22" i="35"/>
  <c r="N23" i="35"/>
  <c r="N24" i="35"/>
  <c r="N25" i="35"/>
  <c r="N26" i="35"/>
  <c r="N27" i="35"/>
  <c r="N28" i="35"/>
  <c r="N29" i="35"/>
  <c r="N30" i="35"/>
  <c r="N33" i="35"/>
  <c r="N34" i="35"/>
  <c r="N35" i="35"/>
  <c r="N36" i="35"/>
  <c r="N37" i="35"/>
  <c r="N38" i="35"/>
  <c r="N39" i="35"/>
  <c r="N40" i="35"/>
  <c r="N41" i="35"/>
  <c r="N42" i="35"/>
  <c r="N43" i="35"/>
  <c r="N44" i="35"/>
  <c r="N45" i="35"/>
  <c r="N46" i="35"/>
  <c r="N47" i="35"/>
  <c r="N48" i="35"/>
  <c r="N49" i="35"/>
  <c r="N50" i="35"/>
  <c r="N51" i="35"/>
  <c r="N52" i="35"/>
  <c r="N53" i="35"/>
  <c r="N54" i="35"/>
  <c r="N55" i="35"/>
  <c r="N56" i="35"/>
  <c r="N57" i="35"/>
  <c r="N58" i="35"/>
  <c r="N59" i="35"/>
  <c r="N60" i="35"/>
  <c r="N61" i="35"/>
  <c r="N62" i="35"/>
  <c r="N63" i="35"/>
  <c r="N64" i="35"/>
  <c r="N65" i="35"/>
  <c r="N68" i="35"/>
  <c r="N69" i="35"/>
  <c r="N70" i="35"/>
  <c r="N71" i="35"/>
  <c r="N72" i="35"/>
  <c r="N73" i="35"/>
  <c r="N74" i="35"/>
  <c r="N75" i="35"/>
  <c r="N76" i="35"/>
  <c r="N77" i="35"/>
  <c r="N78" i="35"/>
  <c r="N79" i="35"/>
  <c r="N80" i="35"/>
  <c r="N81" i="35"/>
  <c r="N82" i="35"/>
  <c r="N83" i="35"/>
  <c r="N88" i="35"/>
  <c r="N89" i="35"/>
  <c r="N90" i="35"/>
  <c r="N91" i="35"/>
  <c r="N93" i="35"/>
  <c r="N94" i="35"/>
  <c r="N95" i="35"/>
  <c r="N96" i="35"/>
  <c r="N98" i="35"/>
  <c r="N100" i="35"/>
  <c r="N12" i="34"/>
  <c r="N13" i="34"/>
  <c r="N16" i="34"/>
  <c r="N17" i="34"/>
  <c r="N18" i="34"/>
  <c r="N19" i="34"/>
  <c r="N20" i="34"/>
  <c r="N21" i="34"/>
  <c r="N22" i="34"/>
  <c r="N23" i="34"/>
  <c r="N24" i="34"/>
  <c r="N25" i="34"/>
  <c r="N26" i="34"/>
  <c r="N27" i="34"/>
  <c r="N28" i="34"/>
  <c r="N29" i="34"/>
  <c r="N30" i="34"/>
  <c r="N31" i="34"/>
  <c r="N34" i="34"/>
  <c r="N35" i="34"/>
  <c r="N40" i="34"/>
  <c r="N41" i="34"/>
  <c r="N43" i="34"/>
  <c r="N45" i="34"/>
  <c r="N11" i="34"/>
  <c r="A51" i="34"/>
  <c r="A52" i="34"/>
  <c r="A6" i="34" l="1"/>
  <c r="A5" i="34"/>
  <c r="N137" i="36"/>
  <c r="F127" i="36"/>
  <c r="F126" i="36"/>
  <c r="F125" i="36"/>
  <c r="F124" i="36"/>
  <c r="F123" i="36"/>
  <c r="F122" i="36"/>
  <c r="F121" i="36"/>
  <c r="F120" i="36"/>
  <c r="F118" i="36"/>
  <c r="F117" i="36"/>
  <c r="F116" i="36"/>
  <c r="F114" i="36"/>
  <c r="F115" i="36" s="1"/>
  <c r="F113" i="36"/>
  <c r="F112" i="36"/>
  <c r="F111" i="36"/>
  <c r="F108" i="36"/>
  <c r="F107" i="36"/>
  <c r="F106" i="36"/>
  <c r="F101" i="36"/>
  <c r="F99" i="36"/>
  <c r="F98" i="36"/>
  <c r="H87" i="36"/>
  <c r="H78" i="36"/>
  <c r="H75" i="36"/>
  <c r="F70" i="36"/>
  <c r="F69" i="36"/>
  <c r="F68" i="36"/>
  <c r="H63" i="36"/>
  <c r="F62" i="36"/>
  <c r="H62" i="36" s="1"/>
  <c r="F61" i="36"/>
  <c r="H61" i="36" s="1"/>
  <c r="F60" i="36"/>
  <c r="H60" i="36" s="1"/>
  <c r="F59" i="36"/>
  <c r="H59" i="36" s="1"/>
  <c r="F56" i="36"/>
  <c r="F55" i="36"/>
  <c r="F54" i="36"/>
  <c r="F53" i="36"/>
  <c r="F52" i="36"/>
  <c r="F51" i="36"/>
  <c r="F50" i="36"/>
  <c r="F49" i="36"/>
  <c r="F48" i="36"/>
  <c r="F47" i="36"/>
  <c r="F45" i="36"/>
  <c r="F44" i="36"/>
  <c r="F43" i="36"/>
  <c r="F42" i="36"/>
  <c r="F41" i="36"/>
  <c r="F40" i="36"/>
  <c r="F39" i="36"/>
  <c r="F38" i="36"/>
  <c r="F37" i="36"/>
  <c r="F36" i="36"/>
  <c r="F35" i="36"/>
  <c r="F24" i="36"/>
  <c r="F23" i="36"/>
  <c r="F15" i="36"/>
  <c r="H94" i="35"/>
  <c r="H82" i="35"/>
  <c r="H79" i="35"/>
  <c r="F72" i="35"/>
  <c r="F71" i="35"/>
  <c r="F70" i="35"/>
  <c r="F69" i="35"/>
  <c r="F62" i="35"/>
  <c r="H62" i="35" s="1"/>
  <c r="F61" i="35"/>
  <c r="H61" i="35" s="1"/>
  <c r="F60" i="35"/>
  <c r="H60" i="35" s="1"/>
  <c r="F59" i="35"/>
  <c r="H59" i="35" s="1"/>
  <c r="F58" i="35"/>
  <c r="H58" i="35" s="1"/>
  <c r="F55" i="35"/>
  <c r="F54" i="35"/>
  <c r="F53" i="35"/>
  <c r="F52" i="35"/>
  <c r="F51" i="35"/>
  <c r="F50" i="35"/>
  <c r="F49" i="35"/>
  <c r="F48" i="35"/>
  <c r="F46" i="35"/>
  <c r="F45" i="35"/>
  <c r="F44" i="35"/>
  <c r="F43" i="35"/>
  <c r="F42" i="35"/>
  <c r="F41" i="35"/>
  <c r="F40" i="35"/>
  <c r="F39" i="35"/>
  <c r="F38" i="35"/>
  <c r="F37" i="35"/>
  <c r="F36" i="35"/>
  <c r="F22" i="35"/>
  <c r="F20" i="35"/>
  <c r="F19" i="35"/>
  <c r="F18" i="35"/>
  <c r="F17" i="35"/>
  <c r="F16" i="35"/>
  <c r="F14" i="35"/>
  <c r="F30" i="34"/>
  <c r="F29" i="34"/>
  <c r="F28" i="34"/>
  <c r="F27" i="34"/>
  <c r="F26" i="34"/>
  <c r="F25" i="34"/>
  <c r="F23" i="34"/>
  <c r="F22" i="34"/>
  <c r="F21" i="34"/>
  <c r="F20" i="34"/>
  <c r="F19" i="34"/>
  <c r="F18" i="34"/>
  <c r="H71" i="36" l="1"/>
  <c r="N67" i="36" s="1"/>
  <c r="H73" i="35"/>
  <c r="H108" i="36"/>
  <c r="H118" i="36"/>
  <c r="H57" i="36"/>
  <c r="J64" i="36" s="1"/>
  <c r="H27" i="35"/>
  <c r="H56" i="35"/>
  <c r="J63" i="35" s="1"/>
  <c r="F100" i="36"/>
  <c r="H103" i="36" s="1"/>
  <c r="H28" i="36"/>
  <c r="N14" i="36" s="1"/>
  <c r="H25" i="36"/>
  <c r="H127" i="36"/>
  <c r="H31" i="34"/>
  <c r="N66" i="36" l="1"/>
  <c r="N13" i="35"/>
  <c r="N67" i="35"/>
  <c r="J128" i="36"/>
  <c r="F131" i="36" s="1"/>
  <c r="N131" i="36" s="1"/>
  <c r="F130" i="36"/>
  <c r="N130" i="36" s="1"/>
  <c r="N97" i="36"/>
  <c r="H16" i="34"/>
  <c r="N84" i="35" l="1"/>
  <c r="N79" i="36"/>
  <c r="N82" i="36"/>
  <c r="N81" i="36"/>
  <c r="F135" i="36"/>
  <c r="N135" i="36" s="1"/>
  <c r="N104" i="36"/>
  <c r="N66" i="35"/>
  <c r="N33" i="34"/>
  <c r="N86" i="35" l="1"/>
  <c r="N87" i="35"/>
  <c r="N36" i="34"/>
  <c r="N141" i="36" l="1"/>
  <c r="N142" i="36" s="1"/>
  <c r="N143" i="36" s="1"/>
  <c r="N104" i="35"/>
  <c r="N38" i="34"/>
  <c r="N50" i="34" s="1"/>
  <c r="N105" i="35" l="1"/>
  <c r="N106" i="35" s="1"/>
  <c r="N51" i="34"/>
  <c r="N52" i="34" s="1"/>
  <c r="A12" i="36" l="1"/>
  <c r="A11" i="34"/>
  <c r="A13" i="36" l="1"/>
  <c r="A14" i="36" s="1"/>
  <c r="A29" i="36" s="1"/>
  <c r="A65" i="36" s="1"/>
  <c r="A66" i="36" s="1"/>
  <c r="A67" i="36" s="1"/>
  <c r="A72" i="36" s="1"/>
  <c r="A79" i="36" s="1"/>
  <c r="A81" i="36" s="1"/>
  <c r="A82" i="36" s="1"/>
  <c r="A83" i="36" s="1"/>
  <c r="A12" i="34"/>
  <c r="A13" i="34" s="1"/>
  <c r="A32" i="34" s="1"/>
  <c r="A33" i="34" s="1"/>
  <c r="A34" i="34" s="1"/>
  <c r="A36" i="34" s="1"/>
  <c r="A38" i="34" s="1"/>
  <c r="A40" i="34" s="1"/>
  <c r="A41" i="34" s="1"/>
  <c r="A43" i="34" s="1"/>
  <c r="A45" i="34" s="1"/>
  <c r="A90" i="36" l="1"/>
  <c r="A92" i="36" s="1"/>
  <c r="A97" i="36" s="1"/>
  <c r="A104" i="36" s="1"/>
  <c r="A130" i="36" s="1"/>
  <c r="A131" i="36" s="1"/>
  <c r="A135" i="36" s="1"/>
  <c r="A137" i="36" s="1"/>
  <c r="A139" i="36" s="1"/>
  <c r="A11" i="35"/>
  <c r="A13" i="35" s="1"/>
  <c r="A12" i="35"/>
  <c r="A30" i="35" l="1"/>
  <c r="A65" i="35" s="1"/>
  <c r="A66" i="35" l="1"/>
  <c r="A67" i="35" s="1"/>
  <c r="A76" i="35" s="1"/>
  <c r="A84" i="35" l="1"/>
  <c r="A86" i="35" l="1"/>
  <c r="A87" i="35" l="1"/>
  <c r="A88" i="35" s="1"/>
  <c r="A98" i="35" l="1"/>
  <c r="A100" i="35" s="1"/>
</calcChain>
</file>

<file path=xl/sharedStrings.xml><?xml version="1.0" encoding="utf-8"?>
<sst xmlns="http://schemas.openxmlformats.org/spreadsheetml/2006/main" count="527" uniqueCount="176">
  <si>
    <t>DESIGNATION DES ARTICLES</t>
  </si>
  <si>
    <t>U</t>
  </si>
  <si>
    <t>Qtes</t>
  </si>
  <si>
    <t>P.U</t>
  </si>
  <si>
    <t>ft</t>
  </si>
  <si>
    <t>ml</t>
  </si>
  <si>
    <t>m3</t>
  </si>
  <si>
    <t>N°</t>
  </si>
  <si>
    <t>u</t>
  </si>
  <si>
    <t>m²</t>
  </si>
  <si>
    <t>CCTP</t>
  </si>
  <si>
    <t>TOTAL en Euros</t>
  </si>
  <si>
    <t>TRANCHE FERME : AILE NORD, DOME TOURNON ET CAMPANILE</t>
  </si>
  <si>
    <t>TVA 20,00%</t>
  </si>
  <si>
    <t>TRANCHE OPTIONNELLE 1 : PAVILLON NORD-OUEST</t>
  </si>
  <si>
    <t>TRANCHE OPTIONNELLE 2 : PAVILLON NORD-EST</t>
  </si>
  <si>
    <t>Avant-métré</t>
  </si>
  <si>
    <t>=</t>
  </si>
  <si>
    <t>- Nettoyage et repli de chantier</t>
  </si>
  <si>
    <t>LOT 04 : TRAVAUX DE COUVERTURE-CHARPENTE-PLATRERIE-PEINTURE</t>
  </si>
  <si>
    <t xml:space="preserve">Travaux de charpente </t>
  </si>
  <si>
    <t>Travaux préparatoires :</t>
  </si>
  <si>
    <t>- Réalisation d'un état sanitaire de la charpente du dôme et du campanile</t>
  </si>
  <si>
    <t>- création d'un accès par l'extérieur</t>
  </si>
  <si>
    <t>Traitement et renforcement de la charpente :</t>
  </si>
  <si>
    <t xml:space="preserve">m³ de charpente du Dôme </t>
  </si>
  <si>
    <t>chevrons cintré couverture</t>
  </si>
  <si>
    <t xml:space="preserve">chevrons cintré extrados de la voûte </t>
  </si>
  <si>
    <t xml:space="preserve">entraits chevrons </t>
  </si>
  <si>
    <t>Laisons entre fermes</t>
  </si>
  <si>
    <t xml:space="preserve">Jambes de force partie basse </t>
  </si>
  <si>
    <t xml:space="preserve">Jambes de force partie haute </t>
  </si>
  <si>
    <t>Fermes 01 à 04 :</t>
  </si>
  <si>
    <t>- Arbalétiers</t>
  </si>
  <si>
    <t>- Entraits</t>
  </si>
  <si>
    <t>- Blochets</t>
  </si>
  <si>
    <t>- Cylindre formant base du campanile</t>
  </si>
  <si>
    <t xml:space="preserve">Lisses circulaires haute </t>
  </si>
  <si>
    <t>Lisses circulaire basse</t>
  </si>
  <si>
    <t xml:space="preserve">- Révision de la charpente </t>
  </si>
  <si>
    <t>m³</t>
  </si>
  <si>
    <t xml:space="preserve">- Traitement par pulvérisation et injection </t>
  </si>
  <si>
    <t xml:space="preserve">- Vérification/Reprise des assemblages </t>
  </si>
  <si>
    <t>8 assembalges entre arbalétriers des fermes et cylindre formant base du campanile</t>
  </si>
  <si>
    <t>provision du m³ de charpente %</t>
  </si>
  <si>
    <t>- élement de charpente à entaille simple</t>
  </si>
  <si>
    <t>- Réparation sur lanterneau</t>
  </si>
  <si>
    <t>- Traitement de la corrosion des éléments métalliques (plats + boulon)</t>
  </si>
  <si>
    <t>16 plats et boulons au niveau de l'assemeblage arbalétriers/cylindre campanile</t>
  </si>
  <si>
    <t>Evacuation des gravats</t>
  </si>
  <si>
    <t xml:space="preserve">Nettoyage et repli de chantier </t>
  </si>
  <si>
    <t xml:space="preserve">Travaux de plâtrerie </t>
  </si>
  <si>
    <t xml:space="preserve">Travaux de peinture </t>
  </si>
  <si>
    <t xml:space="preserve">- Traitement des gerces </t>
  </si>
  <si>
    <t xml:space="preserve">- Evacuation des gravats </t>
  </si>
  <si>
    <t>TOTAL H.T LOT 04 TRAVAUX DE COUVERTURE-CHARPENTE-PLATRERIE-PEINTURE TF AILE NORD</t>
  </si>
  <si>
    <t>TOTAL T.T.C LOT 04 TRAVAUX DE COUVERTURE-CHARPENTE-PLATRERIE-PEINTURE TF ALIE NORD</t>
  </si>
  <si>
    <t>- bâchage et protections intérieures des sols (film polyane + placo)</t>
  </si>
  <si>
    <t>sol archives A0410</t>
  </si>
  <si>
    <t xml:space="preserve">sol bureaux et autres locaux </t>
  </si>
  <si>
    <t>A0351</t>
  </si>
  <si>
    <t>A0352</t>
  </si>
  <si>
    <t>A0353</t>
  </si>
  <si>
    <t>A0354</t>
  </si>
  <si>
    <t>A0355</t>
  </si>
  <si>
    <t>A0356a</t>
  </si>
  <si>
    <t>A0356b</t>
  </si>
  <si>
    <t>A0358</t>
  </si>
  <si>
    <t>A0359</t>
  </si>
  <si>
    <t>A0360</t>
  </si>
  <si>
    <t xml:space="preserve">m3 de charpente </t>
  </si>
  <si>
    <t>au droit des archives A0410</t>
  </si>
  <si>
    <t>fermes 01 et 02</t>
  </si>
  <si>
    <t>- arêtiers</t>
  </si>
  <si>
    <t>- arbalétriers</t>
  </si>
  <si>
    <t>- pannes sablière</t>
  </si>
  <si>
    <t>- panne faîtière</t>
  </si>
  <si>
    <t xml:space="preserve">- pannes intermédiaire </t>
  </si>
  <si>
    <t xml:space="preserve">- Poinçon </t>
  </si>
  <si>
    <t>- entraits réhaussés</t>
  </si>
  <si>
    <t>- jambes de forces</t>
  </si>
  <si>
    <t>Arêtiers toiture à 4 pans</t>
  </si>
  <si>
    <t>Jambes de fores des arbalétriers toiture à 4 pans</t>
  </si>
  <si>
    <t>Liaison entre arbalétrier F01/C01 et F02/C01</t>
  </si>
  <si>
    <t xml:space="preserve">Coupe 01 : </t>
  </si>
  <si>
    <t xml:space="preserve">- Poinçons </t>
  </si>
  <si>
    <t>- entrait réhaussé</t>
  </si>
  <si>
    <t xml:space="preserve">- étresillons </t>
  </si>
  <si>
    <t xml:space="preserve">plénum </t>
  </si>
  <si>
    <t>bureau A0351</t>
  </si>
  <si>
    <t xml:space="preserve">bureau A0354 </t>
  </si>
  <si>
    <t>bureau A0358</t>
  </si>
  <si>
    <t xml:space="preserve">dégagement </t>
  </si>
  <si>
    <t>arbalétrier ferme 02</t>
  </si>
  <si>
    <t>plenum</t>
  </si>
  <si>
    <t>bureau A0354</t>
  </si>
  <si>
    <t>véirfication des pieds d'arêtiers et sablières basses au niveau des fermes 01 et 02</t>
  </si>
  <si>
    <t>véirfication des pieds d'arêtiers et sablières basses au niveau de la C01</t>
  </si>
  <si>
    <t>reprise des assembalges entre poinçon et entraits réhaussés des fermes 01 et 02</t>
  </si>
  <si>
    <t>reprise des assembalges entre poinçon et entraits réhaussés de la C01</t>
  </si>
  <si>
    <t xml:space="preserve">- élément de charpente à entaille double </t>
  </si>
  <si>
    <t xml:space="preserve">sur arbalétriers toiture à 4 pans: </t>
  </si>
  <si>
    <t xml:space="preserve">en milieu de section </t>
  </si>
  <si>
    <t>en tête de section (0,3*0,2m)</t>
  </si>
  <si>
    <t xml:space="preserve">au niveau des solives principales du plancher haut du plenum </t>
  </si>
  <si>
    <t xml:space="preserve">- sur rampant et surface murale </t>
  </si>
  <si>
    <t xml:space="preserve">Fourniture et pose d'un doublage plâtre </t>
  </si>
  <si>
    <t>Peinture sur doublage plâtre (rampant et surface murale)</t>
  </si>
  <si>
    <t>TOTAL H.T LOT 04 TRAVAUX DE COUVERTURE-CHARPENTE-PLATRERIE-PEINTURE TO 1 PAVILLON NORD-OUEST</t>
  </si>
  <si>
    <t>TOTAL T.T.C LOT 04 TRAVAUX DE COUVERTURE-CHARPENTE-PLATRERIE-PEINTURE TO 1 PAVILLON NORD-OUEST</t>
  </si>
  <si>
    <t xml:space="preserve">- Réalisation d'un état sanitaire de la charpente </t>
  </si>
  <si>
    <t>sol combles</t>
  </si>
  <si>
    <t>sol bureaux</t>
  </si>
  <si>
    <t>A0342</t>
  </si>
  <si>
    <t>A0343</t>
  </si>
  <si>
    <t>A0344</t>
  </si>
  <si>
    <t>A0345a</t>
  </si>
  <si>
    <t>A0345b</t>
  </si>
  <si>
    <t>A0346</t>
  </si>
  <si>
    <t>A0347</t>
  </si>
  <si>
    <t>A0348</t>
  </si>
  <si>
    <t>- Lisses sous entrait réhaussé</t>
  </si>
  <si>
    <t xml:space="preserve">plénum plancher haut </t>
  </si>
  <si>
    <t>sur plan</t>
  </si>
  <si>
    <t>plénum plancher bas</t>
  </si>
  <si>
    <t xml:space="preserve">sur plan </t>
  </si>
  <si>
    <t>local A0343c</t>
  </si>
  <si>
    <t>bureau A0344</t>
  </si>
  <si>
    <t xml:space="preserve">Provision m³ de charpente des bureaux A0347, A0348, A0346,  A0342, A0345a et A0345b </t>
  </si>
  <si>
    <t>Poinçon ferme 01 et 02</t>
  </si>
  <si>
    <t>Combles sur C01</t>
  </si>
  <si>
    <t>Plénum (partie haute et basse)</t>
  </si>
  <si>
    <t xml:space="preserve">reprise de l'assemblahe entre arêtiers toiture à 4 pans et pannes </t>
  </si>
  <si>
    <t>reprise de l'assemblage entre jambe de force et arbalétrier C01</t>
  </si>
  <si>
    <t xml:space="preserve">au niveau du plancher haut du plénum </t>
  </si>
  <si>
    <t>sur solive principale</t>
  </si>
  <si>
    <t>sur tirant métallique dans panne faîtière</t>
  </si>
  <si>
    <t xml:space="preserve">Dépose doublage plâtre </t>
  </si>
  <si>
    <t>indication sur plan</t>
  </si>
  <si>
    <t>plancher haut plenum</t>
  </si>
  <si>
    <t>plancher bas plenum</t>
  </si>
  <si>
    <t>sous-face du plancher haut (plafond des bureaux et locaux)</t>
  </si>
  <si>
    <t>surface des pièces</t>
  </si>
  <si>
    <t xml:space="preserve">enlever surface rampant à plat </t>
  </si>
  <si>
    <t>Combles</t>
  </si>
  <si>
    <t xml:space="preserve">Rampant </t>
  </si>
  <si>
    <t xml:space="preserve">Murale </t>
  </si>
  <si>
    <t xml:space="preserve">Plafond </t>
  </si>
  <si>
    <t xml:space="preserve">Bureaux et locaux </t>
  </si>
  <si>
    <t xml:space="preserve">Doublage sur maçonnerie </t>
  </si>
  <si>
    <t>reprendre surface de dépose</t>
  </si>
  <si>
    <t xml:space="preserve">reprendre surface de doublage </t>
  </si>
  <si>
    <t>TOTAL H.T LOT 04 TRAVAUX DE COUVERTURE-CHARPENTE-PLATRERIE-PEINTURE TO 2 PAVILLON NORD-EST</t>
  </si>
  <si>
    <t>TOTAL T.T.C LOT 04 TRAVAUX DE COUVERTURE-CHARPENTE-PLATRERIE-PEINTURE TO 2 PAVILLON NORD-EST</t>
  </si>
  <si>
    <t>- Dépose des éléments de charpente (provision 20%)</t>
  </si>
  <si>
    <t>Fourniture et pose /Ajout d'élement de charpente (provision 20%)</t>
  </si>
  <si>
    <t xml:space="preserve">- Réalisation des plans d'exécution et des notes de calcul </t>
  </si>
  <si>
    <t xml:space="preserve">- Réalisation des plans d'exécution et des notes de calculs et pré-bilan </t>
  </si>
  <si>
    <t>Remplacement/Ajout d'élement de charpente (provision 20%)</t>
  </si>
  <si>
    <t>- Dépose des éléments de charpente plombées (provision 20% )</t>
  </si>
  <si>
    <t>- Dépose des éléments de charpente  (provision 10%)</t>
  </si>
  <si>
    <t>- sur plafond</t>
  </si>
  <si>
    <t>3.3.3</t>
  </si>
  <si>
    <t>3.3.1</t>
  </si>
  <si>
    <t>3.3.2</t>
  </si>
  <si>
    <t>3.3.4</t>
  </si>
  <si>
    <t>3.4.1</t>
  </si>
  <si>
    <t>3.3.5</t>
  </si>
  <si>
    <t>3.4.2</t>
  </si>
  <si>
    <t>LOT 04 :  COUVERTURE-CHARPENTE-PLATRERIE-PEINTURE</t>
  </si>
  <si>
    <t>3.3</t>
  </si>
  <si>
    <t>3.4</t>
  </si>
  <si>
    <t>3.5</t>
  </si>
  <si>
    <t>3.6</t>
  </si>
  <si>
    <t>3.7</t>
  </si>
  <si>
    <t>- Création d'un accès par l'extérieur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</si>
</sst>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0.000"/>
    <numFmt numFmtId="167" formatCode="00000"/>
  </numFmts>
  <fonts count="31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Times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b/>
      <sz val="8"/>
      <color theme="1"/>
      <name val="Arial"/>
      <family val="2"/>
    </font>
    <font>
      <b/>
      <sz val="8"/>
      <color rgb="FFC00000"/>
      <name val="Arial"/>
      <family val="2"/>
    </font>
    <font>
      <u/>
      <sz val="8"/>
      <name val="Arial"/>
      <family val="2"/>
    </font>
    <font>
      <sz val="8"/>
      <color theme="4" tint="-0.249977111117893"/>
      <name val="Arial"/>
      <family val="2"/>
    </font>
    <font>
      <sz val="11"/>
      <color theme="1"/>
      <name val="Arial"/>
      <family val="2"/>
    </font>
    <font>
      <b/>
      <sz val="9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9"/>
      <color theme="4" tint="-0.249977111117893"/>
      <name val="Arial"/>
      <family val="2"/>
    </font>
    <font>
      <b/>
      <sz val="11"/>
      <color rgb="FFC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58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12" fillId="3" borderId="8" xfId="6" applyFont="1" applyFill="1" applyBorder="1" applyAlignment="1">
      <alignment horizontal="center" vertical="top"/>
    </xf>
    <xf numFmtId="0" fontId="12" fillId="3" borderId="8" xfId="6" applyFont="1" applyFill="1" applyBorder="1" applyAlignment="1">
      <alignment horizontal="center" vertical="center"/>
    </xf>
    <xf numFmtId="165" fontId="12" fillId="3" borderId="8" xfId="6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2" fontId="1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2" fontId="11" fillId="2" borderId="1" xfId="0" applyNumberFormat="1" applyFont="1" applyFill="1" applyBorder="1" applyAlignment="1">
      <alignment horizontal="center" vertical="center"/>
    </xf>
    <xf numFmtId="0" fontId="11" fillId="0" borderId="2" xfId="0" applyFont="1" applyBorder="1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6" fillId="0" borderId="0" xfId="0" applyFont="1"/>
    <xf numFmtId="165" fontId="14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0" fontId="5" fillId="2" borderId="0" xfId="4" applyFont="1" applyFill="1" applyAlignment="1">
      <alignment vertical="center" wrapText="1" shrinkToFit="1"/>
    </xf>
    <xf numFmtId="0" fontId="3" fillId="2" borderId="0" xfId="4" applyFont="1" applyFill="1" applyAlignment="1">
      <alignment vertical="center" wrapText="1" shrinkToFit="1"/>
    </xf>
    <xf numFmtId="165" fontId="11" fillId="0" borderId="1" xfId="0" applyNumberFormat="1" applyFont="1" applyBorder="1" applyAlignment="1">
      <alignment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12" fillId="3" borderId="9" xfId="6" applyFont="1" applyFill="1" applyBorder="1" applyAlignment="1">
      <alignment horizontal="center" vertical="center"/>
    </xf>
    <xf numFmtId="165" fontId="12" fillId="3" borderId="9" xfId="6" applyNumberFormat="1" applyFont="1" applyFill="1" applyBorder="1" applyAlignment="1">
      <alignment horizontal="center" vertical="center"/>
    </xf>
    <xf numFmtId="0" fontId="0" fillId="0" borderId="2" xfId="0" applyBorder="1"/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5" fillId="2" borderId="2" xfId="4" applyFont="1" applyFill="1" applyBorder="1" applyAlignment="1">
      <alignment vertical="top" wrapText="1" shrinkToFit="1"/>
    </xf>
    <xf numFmtId="2" fontId="11" fillId="0" borderId="2" xfId="0" applyNumberFormat="1" applyFont="1" applyBorder="1" applyAlignment="1">
      <alignment horizontal="center" vertical="center"/>
    </xf>
    <xf numFmtId="0" fontId="24" fillId="2" borderId="2" xfId="4" applyFont="1" applyFill="1" applyBorder="1" applyAlignment="1">
      <alignment vertical="top" wrapText="1" shrinkToFit="1"/>
    </xf>
    <xf numFmtId="0" fontId="5" fillId="2" borderId="2" xfId="4" quotePrefix="1" applyFont="1" applyFill="1" applyBorder="1" applyAlignment="1">
      <alignment vertical="top" wrapText="1" shrinkToFit="1"/>
    </xf>
    <xf numFmtId="2" fontId="25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5" fillId="2" borderId="2" xfId="4" quotePrefix="1" applyFont="1" applyFill="1" applyBorder="1" applyAlignment="1">
      <alignment vertical="center" wrapText="1" shrinkToFit="1"/>
    </xf>
    <xf numFmtId="0" fontId="25" fillId="0" borderId="10" xfId="0" applyFont="1" applyBorder="1" applyAlignment="1">
      <alignment horizontal="left" vertical="center"/>
    </xf>
    <xf numFmtId="0" fontId="7" fillId="2" borderId="2" xfId="4" applyFont="1" applyFill="1" applyBorder="1" applyAlignment="1">
      <alignment vertical="top" wrapText="1" shrinkToFit="1"/>
    </xf>
    <xf numFmtId="0" fontId="5" fillId="0" borderId="1" xfId="7" quotePrefix="1" applyFont="1" applyBorder="1" applyAlignment="1">
      <alignment vertical="center"/>
    </xf>
    <xf numFmtId="0" fontId="5" fillId="0" borderId="1" xfId="7" quotePrefix="1" applyFont="1" applyBorder="1" applyAlignment="1">
      <alignment horizontal="left" vertical="center"/>
    </xf>
    <xf numFmtId="166" fontId="25" fillId="0" borderId="1" xfId="0" applyNumberFormat="1" applyFont="1" applyBorder="1" applyAlignment="1">
      <alignment horizontal="center" vertical="center"/>
    </xf>
    <xf numFmtId="0" fontId="25" fillId="0" borderId="1" xfId="0" quotePrefix="1" applyFont="1" applyBorder="1" applyAlignment="1">
      <alignment horizontal="left" vertical="center"/>
    </xf>
    <xf numFmtId="166" fontId="11" fillId="0" borderId="2" xfId="0" applyNumberFormat="1" applyFont="1" applyBorder="1" applyAlignment="1">
      <alignment horizontal="center" vertical="center"/>
    </xf>
    <xf numFmtId="0" fontId="25" fillId="0" borderId="10" xfId="0" applyFont="1" applyBorder="1" applyAlignment="1">
      <alignment horizontal="left" vertical="center" wrapText="1"/>
    </xf>
    <xf numFmtId="0" fontId="11" fillId="0" borderId="2" xfId="0" quotePrefix="1" applyFont="1" applyBorder="1" applyAlignment="1">
      <alignment wrapText="1"/>
    </xf>
    <xf numFmtId="166" fontId="25" fillId="0" borderId="2" xfId="0" applyNumberFormat="1" applyFont="1" applyBorder="1" applyAlignment="1">
      <alignment horizontal="center" vertical="center"/>
    </xf>
    <xf numFmtId="0" fontId="6" fillId="2" borderId="2" xfId="4" quotePrefix="1" applyFont="1" applyFill="1" applyBorder="1" applyAlignment="1">
      <alignment vertical="top" wrapText="1" shrinkToFit="1"/>
    </xf>
    <xf numFmtId="0" fontId="5" fillId="0" borderId="2" xfId="4" quotePrefix="1" applyFont="1" applyBorder="1" applyAlignment="1">
      <alignment vertical="center" wrapText="1" shrinkToFit="1"/>
    </xf>
    <xf numFmtId="0" fontId="5" fillId="0" borderId="2" xfId="4" applyFont="1" applyBorder="1" applyAlignment="1">
      <alignment vertical="center" wrapText="1" shrinkToFit="1"/>
    </xf>
    <xf numFmtId="0" fontId="25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0" fontId="25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165" fontId="11" fillId="2" borderId="1" xfId="0" applyNumberFormat="1" applyFont="1" applyFill="1" applyBorder="1" applyAlignment="1">
      <alignment vertical="center"/>
    </xf>
    <xf numFmtId="0" fontId="25" fillId="0" borderId="1" xfId="0" quotePrefix="1" applyFont="1" applyBorder="1" applyAlignment="1">
      <alignment horizontal="left" vertical="center" wrapText="1"/>
    </xf>
    <xf numFmtId="0" fontId="25" fillId="0" borderId="2" xfId="0" applyFont="1" applyBorder="1" applyAlignment="1">
      <alignment horizontal="left" vertical="center" wrapText="1"/>
    </xf>
    <xf numFmtId="0" fontId="5" fillId="0" borderId="2" xfId="7" quotePrefix="1" applyFont="1" applyBorder="1" applyAlignment="1">
      <alignment vertical="center"/>
    </xf>
    <xf numFmtId="0" fontId="5" fillId="2" borderId="2" xfId="4" applyFont="1" applyFill="1" applyBorder="1" applyAlignment="1">
      <alignment vertical="center" wrapText="1" shrinkToFit="1"/>
    </xf>
    <xf numFmtId="2" fontId="25" fillId="2" borderId="1" xfId="0" applyNumberFormat="1" applyFont="1" applyFill="1" applyBorder="1" applyAlignment="1">
      <alignment horizontal="center" vertical="center"/>
    </xf>
    <xf numFmtId="0" fontId="25" fillId="2" borderId="1" xfId="0" quotePrefix="1" applyFont="1" applyFill="1" applyBorder="1" applyAlignment="1">
      <alignment horizontal="center" vertical="center"/>
    </xf>
    <xf numFmtId="0" fontId="5" fillId="2" borderId="2" xfId="4" applyFont="1" applyFill="1" applyBorder="1" applyAlignment="1">
      <alignment vertical="center" shrinkToFit="1"/>
    </xf>
    <xf numFmtId="165" fontId="1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11" fillId="0" borderId="0" xfId="0" applyFont="1" applyAlignment="1">
      <alignment vertical="center"/>
    </xf>
    <xf numFmtId="0" fontId="3" fillId="2" borderId="2" xfId="4" applyFont="1" applyFill="1" applyBorder="1" applyAlignment="1">
      <alignment vertical="center" wrapText="1" shrinkToFit="1"/>
    </xf>
    <xf numFmtId="0" fontId="7" fillId="2" borderId="2" xfId="4" applyFont="1" applyFill="1" applyBorder="1" applyAlignment="1">
      <alignment vertical="center" wrapText="1" shrinkToFit="1"/>
    </xf>
    <xf numFmtId="0" fontId="5" fillId="2" borderId="2" xfId="4" quotePrefix="1" applyFont="1" applyFill="1" applyBorder="1" applyAlignment="1">
      <alignment horizontal="right" vertical="center" wrapText="1" shrinkToFit="1"/>
    </xf>
    <xf numFmtId="0" fontId="24" fillId="2" borderId="2" xfId="4" applyFont="1" applyFill="1" applyBorder="1" applyAlignment="1">
      <alignment vertical="center" wrapText="1" shrinkToFit="1"/>
    </xf>
    <xf numFmtId="0" fontId="25" fillId="2" borderId="2" xfId="4" applyFont="1" applyFill="1" applyBorder="1" applyAlignment="1">
      <alignment vertical="center" wrapText="1" shrinkToFit="1"/>
    </xf>
    <xf numFmtId="0" fontId="11" fillId="2" borderId="2" xfId="0" quotePrefix="1" applyFont="1" applyFill="1" applyBorder="1" applyAlignment="1">
      <alignment vertical="center"/>
    </xf>
    <xf numFmtId="0" fontId="12" fillId="3" borderId="9" xfId="6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5" fillId="0" borderId="2" xfId="7" quotePrefix="1" applyFont="1" applyBorder="1" applyAlignment="1">
      <alignment horizontal="left" vertical="center"/>
    </xf>
    <xf numFmtId="0" fontId="5" fillId="0" borderId="2" xfId="7" quotePrefix="1" applyFont="1" applyBorder="1" applyAlignment="1">
      <alignment vertical="center" wrapText="1"/>
    </xf>
    <xf numFmtId="0" fontId="25" fillId="0" borderId="2" xfId="0" applyFont="1" applyBorder="1" applyAlignment="1">
      <alignment horizontal="left" vertical="center"/>
    </xf>
    <xf numFmtId="0" fontId="11" fillId="0" borderId="1" xfId="0" applyFont="1" applyBorder="1" applyAlignment="1">
      <alignment vertical="center"/>
    </xf>
    <xf numFmtId="0" fontId="0" fillId="0" borderId="1" xfId="0" applyBorder="1" applyAlignment="1">
      <alignment vertical="center"/>
    </xf>
    <xf numFmtId="0" fontId="12" fillId="3" borderId="7" xfId="6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5" fillId="2" borderId="2" xfId="0" applyFont="1" applyFill="1" applyBorder="1" applyAlignment="1">
      <alignment horizontal="left" vertical="center"/>
    </xf>
    <xf numFmtId="0" fontId="0" fillId="0" borderId="0" xfId="0" applyAlignment="1">
      <alignment vertical="center"/>
    </xf>
    <xf numFmtId="0" fontId="5" fillId="0" borderId="2" xfId="4" applyFont="1" applyBorder="1" applyAlignment="1">
      <alignment vertical="top" wrapText="1" shrinkToFit="1"/>
    </xf>
    <xf numFmtId="165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29" fillId="0" borderId="2" xfId="0" applyFont="1" applyBorder="1" applyAlignment="1">
      <alignment horizontal="left" vertical="center"/>
    </xf>
    <xf numFmtId="0" fontId="29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18" fillId="0" borderId="10" xfId="0" applyNumberFormat="1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5" fontId="17" fillId="0" borderId="6" xfId="0" applyNumberFormat="1" applyFont="1" applyBorder="1" applyAlignment="1">
      <alignment vertical="center"/>
    </xf>
    <xf numFmtId="0" fontId="0" fillId="0" borderId="11" xfId="0" applyBorder="1"/>
    <xf numFmtId="0" fontId="11" fillId="0" borderId="3" xfId="0" applyFont="1" applyBorder="1"/>
    <xf numFmtId="0" fontId="11" fillId="0" borderId="3" xfId="0" applyFont="1" applyBorder="1" applyAlignment="1">
      <alignment vertical="center"/>
    </xf>
    <xf numFmtId="0" fontId="25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23" fillId="0" borderId="6" xfId="0" applyNumberFormat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8" fillId="0" borderId="3" xfId="0" applyFont="1" applyBorder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30" fillId="0" borderId="6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1" xfId="4" quotePrefix="1" applyFont="1" applyBorder="1" applyAlignment="1">
      <alignment vertical="center" wrapText="1" shrinkToFit="1"/>
    </xf>
    <xf numFmtId="0" fontId="11" fillId="0" borderId="0" xfId="0" applyFont="1" applyAlignment="1">
      <alignment horizontal="center" vertical="center"/>
    </xf>
    <xf numFmtId="167" fontId="27" fillId="3" borderId="9" xfId="6" applyNumberFormat="1" applyFont="1" applyFill="1" applyBorder="1" applyAlignment="1">
      <alignment horizontal="center" vertical="center"/>
    </xf>
    <xf numFmtId="167" fontId="27" fillId="3" borderId="7" xfId="6" applyNumberFormat="1" applyFont="1" applyFill="1" applyBorder="1" applyAlignment="1">
      <alignment horizontal="center" vertical="center"/>
    </xf>
    <xf numFmtId="167" fontId="27" fillId="3" borderId="13" xfId="6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10" xfId="0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5" fillId="0" borderId="10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0" fontId="17" fillId="0" borderId="12" xfId="0" applyFont="1" applyBorder="1" applyAlignment="1">
      <alignment horizontal="right"/>
    </xf>
    <xf numFmtId="0" fontId="27" fillId="3" borderId="9" xfId="6" applyFont="1" applyFill="1" applyBorder="1" applyAlignment="1">
      <alignment horizontal="center" vertical="center"/>
    </xf>
    <xf numFmtId="0" fontId="27" fillId="3" borderId="7" xfId="6" applyFont="1" applyFill="1" applyBorder="1" applyAlignment="1">
      <alignment horizontal="center" vertical="center"/>
    </xf>
    <xf numFmtId="0" fontId="27" fillId="3" borderId="13" xfId="6" applyFont="1" applyFill="1" applyBorder="1" applyAlignment="1">
      <alignment horizontal="center" vertical="center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10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22" fillId="0" borderId="10" xfId="0" applyFont="1" applyBorder="1" applyAlignment="1">
      <alignment horizontal="right"/>
    </xf>
    <xf numFmtId="0" fontId="23" fillId="0" borderId="2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23" fillId="0" borderId="10" xfId="0" applyFont="1" applyBorder="1" applyAlignment="1">
      <alignment horizontal="right"/>
    </xf>
    <xf numFmtId="0" fontId="19" fillId="0" borderId="2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1" fillId="0" borderId="10" xfId="0" applyFont="1" applyBorder="1" applyAlignment="1">
      <alignment horizontal="right"/>
    </xf>
  </cellXfs>
  <cellStyles count="10">
    <cellStyle name="Monétaire 2" xfId="2" xr:uid="{00000000-0005-0000-0000-000001000000}"/>
    <cellStyle name="Monétaire 2 2" xfId="8" xr:uid="{EF956008-4DA9-4BE2-BA12-2171F283B802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9" xr:uid="{307CC90A-4F3C-4600-8205-048EE222EFD0}"/>
    <cellStyle name="Normal 4" xfId="5" xr:uid="{00000000-0005-0000-0000-000005000000}"/>
    <cellStyle name="Normal 7" xfId="7" xr:uid="{E965C328-CF07-4A27-9024-A453491BA399}"/>
    <cellStyle name="Normal_esimation sommaire EP aide au PAT" xfId="4" xr:uid="{00000000-0005-0000-0000-000007000000}"/>
    <cellStyle name="Normal_EvadeVCN9P2" xfId="6" xr:uid="{CBA054A2-1471-4DCC-BB50-43988142F125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552450</xdr:colOff>
          <xdr:row>42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arnoud\Eglise%20Cosne%20sur%20Loire\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runelle\Rue%20de%20Civry\Am&#233;nagements\Minute%20RD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ute RDCA"/>
      <sheetName val="Minute RDCA.xls"/>
      <sheetName val="Minute%20RDCA.xls"/>
    </sheetNames>
    <definedNames>
      <definedName name="AfficherFormule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BC2E2F-FF8B-4CA6-919E-B2DFF99E19D1}">
  <dimension ref="A1"/>
  <sheetViews>
    <sheetView workbookViewId="0">
      <selection activeCell="J24" sqref="J24"/>
    </sheetView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552450</xdr:colOff>
                <xdr:row>42</xdr:row>
                <xdr:rowOff>142875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6F91C-DA26-4531-BC92-0800F2E99263}">
  <sheetPr codeName="Feuil15">
    <tabColor theme="9"/>
    <pageSetUpPr fitToPage="1"/>
  </sheetPr>
  <dimension ref="A1:N60"/>
  <sheetViews>
    <sheetView showGridLines="0" view="pageBreakPreview" zoomScale="115" zoomScaleNormal="100" zoomScaleSheetLayoutView="115" workbookViewId="0">
      <selection activeCell="C11" sqref="C11"/>
    </sheetView>
  </sheetViews>
  <sheetFormatPr baseColWidth="10" defaultRowHeight="15" outlineLevelRow="1" outlineLevelCol="1" x14ac:dyDescent="0.25"/>
  <cols>
    <col min="1" max="1" width="5" customWidth="1"/>
    <col min="2" max="2" width="5.140625" style="7" customWidth="1"/>
    <col min="3" max="3" width="53.85546875" customWidth="1"/>
    <col min="4" max="4" width="32.28515625" style="31" hidden="1" customWidth="1" outlineLevel="1"/>
    <col min="5" max="5" width="5" hidden="1" customWidth="1" outlineLevel="1"/>
    <col min="6" max="6" width="11.42578125" hidden="1" customWidth="1" outlineLevel="1"/>
    <col min="7" max="7" width="4.5703125" hidden="1" customWidth="1" outlineLevel="1"/>
    <col min="8" max="8" width="11.42578125" hidden="1" customWidth="1" outlineLevel="1"/>
    <col min="9" max="9" width="4.140625" hidden="1" customWidth="1" outlineLevel="1"/>
    <col min="10" max="10" width="11.42578125" hidden="1" customWidth="1" outlineLevel="1"/>
    <col min="11" max="11" width="8.28515625" customWidth="1" collapsed="1"/>
    <col min="12" max="12" width="10.7109375" style="31" customWidth="1"/>
    <col min="13" max="13" width="14.42578125" customWidth="1"/>
    <col min="14" max="14" width="16.28515625" customWidth="1"/>
  </cols>
  <sheetData>
    <row r="1" spans="1:14" x14ac:dyDescent="0.25">
      <c r="A1" s="2" t="s">
        <v>7</v>
      </c>
      <c r="B1" s="29" t="s">
        <v>10</v>
      </c>
      <c r="C1" s="81" t="s">
        <v>0</v>
      </c>
      <c r="D1" s="125" t="s">
        <v>16</v>
      </c>
      <c r="E1" s="126"/>
      <c r="F1" s="126"/>
      <c r="G1" s="126"/>
      <c r="H1" s="126"/>
      <c r="I1" s="126"/>
      <c r="J1" s="127"/>
      <c r="K1" s="29" t="s">
        <v>1</v>
      </c>
      <c r="L1" s="29" t="s">
        <v>2</v>
      </c>
      <c r="M1" s="30" t="s">
        <v>3</v>
      </c>
      <c r="N1" s="4" t="s">
        <v>11</v>
      </c>
    </row>
    <row r="2" spans="1:14" x14ac:dyDescent="0.25">
      <c r="A2" s="11"/>
      <c r="B2" s="37"/>
      <c r="C2" s="18"/>
      <c r="D2" s="34"/>
      <c r="E2" s="35"/>
      <c r="F2" s="35"/>
      <c r="G2" s="35"/>
      <c r="H2" s="35"/>
      <c r="I2" s="35"/>
      <c r="J2" s="36"/>
      <c r="K2" s="37"/>
      <c r="L2" s="37"/>
      <c r="M2" s="38"/>
      <c r="N2" s="27"/>
    </row>
    <row r="3" spans="1:14" x14ac:dyDescent="0.25">
      <c r="A3" s="11"/>
      <c r="B3" s="37"/>
      <c r="C3" s="18"/>
      <c r="D3" s="34"/>
      <c r="E3" s="35"/>
      <c r="F3" s="35"/>
      <c r="G3" s="35"/>
      <c r="H3" s="35"/>
      <c r="I3" s="35"/>
      <c r="J3" s="36"/>
      <c r="K3" s="37"/>
      <c r="L3" s="37"/>
      <c r="M3" s="38"/>
      <c r="N3" s="27"/>
    </row>
    <row r="4" spans="1:14" x14ac:dyDescent="0.25">
      <c r="A4" s="11"/>
      <c r="B4" s="37"/>
      <c r="C4" s="82" t="s">
        <v>169</v>
      </c>
      <c r="D4" s="34"/>
      <c r="E4" s="35"/>
      <c r="F4" s="35"/>
      <c r="G4" s="35"/>
      <c r="H4" s="35"/>
      <c r="I4" s="35"/>
      <c r="J4" s="36"/>
      <c r="K4" s="37"/>
      <c r="L4" s="37"/>
      <c r="M4" s="38"/>
      <c r="N4" s="27"/>
    </row>
    <row r="5" spans="1:14" x14ac:dyDescent="0.25">
      <c r="A5" s="1" t="str">
        <f>IF(L6="","",MAX($A$1:$A4)+1)</f>
        <v/>
      </c>
      <c r="B5" s="37"/>
      <c r="C5" s="18"/>
      <c r="D5" s="34"/>
      <c r="E5" s="35"/>
      <c r="F5" s="35"/>
      <c r="G5" s="35"/>
      <c r="H5" s="35"/>
      <c r="I5" s="35"/>
      <c r="J5" s="36"/>
      <c r="K5" s="37"/>
      <c r="L5" s="37"/>
      <c r="M5" s="38"/>
      <c r="N5" s="27"/>
    </row>
    <row r="6" spans="1:14" x14ac:dyDescent="0.25">
      <c r="A6" s="1" t="str">
        <f>IF(L7="","",MAX($A$1:$A5)+1)</f>
        <v/>
      </c>
      <c r="B6" s="37"/>
      <c r="C6" s="83" t="s">
        <v>12</v>
      </c>
      <c r="D6" s="34"/>
      <c r="E6" s="35"/>
      <c r="F6" s="35"/>
      <c r="G6" s="35"/>
      <c r="H6" s="35"/>
      <c r="I6" s="35"/>
      <c r="J6" s="36"/>
      <c r="K6" s="37"/>
      <c r="L6" s="37"/>
      <c r="M6" s="38"/>
      <c r="N6" s="27"/>
    </row>
    <row r="7" spans="1:14" x14ac:dyDescent="0.25">
      <c r="A7" s="1" t="str">
        <f>IF(M7="","",MAX($A$1:$A6)+1)</f>
        <v/>
      </c>
      <c r="B7" s="37"/>
      <c r="C7" s="18"/>
      <c r="D7" s="34"/>
      <c r="E7" s="35"/>
      <c r="F7" s="35"/>
      <c r="G7" s="35"/>
      <c r="H7" s="35"/>
      <c r="I7" s="35"/>
      <c r="J7" s="36"/>
      <c r="K7" s="37"/>
      <c r="L7" s="37"/>
      <c r="M7" s="38"/>
      <c r="N7" s="27"/>
    </row>
    <row r="8" spans="1:14" x14ac:dyDescent="0.25">
      <c r="A8" s="1" t="str">
        <f>IF(L8="","",MAX($A$1:$A7)+1)</f>
        <v/>
      </c>
      <c r="B8" s="37" t="s">
        <v>170</v>
      </c>
      <c r="C8" s="41" t="s">
        <v>20</v>
      </c>
      <c r="D8" s="34"/>
      <c r="E8" s="35"/>
      <c r="F8" s="35"/>
      <c r="G8" s="35"/>
      <c r="H8" s="35"/>
      <c r="I8" s="35"/>
      <c r="J8" s="36"/>
      <c r="K8" s="37"/>
      <c r="L8" s="37"/>
      <c r="M8" s="38"/>
      <c r="N8" s="27"/>
    </row>
    <row r="9" spans="1:14" x14ac:dyDescent="0.25">
      <c r="A9" s="1" t="str">
        <f>IF(L9="","",MAX($A$1:$A8)+1)</f>
        <v/>
      </c>
      <c r="B9" s="37"/>
      <c r="C9" s="41"/>
      <c r="D9" s="34"/>
      <c r="E9" s="35"/>
      <c r="F9" s="35"/>
      <c r="G9" s="35"/>
      <c r="H9" s="35"/>
      <c r="I9" s="35"/>
      <c r="J9" s="36"/>
      <c r="K9" s="37"/>
      <c r="L9" s="37"/>
      <c r="M9" s="38"/>
      <c r="N9" s="27"/>
    </row>
    <row r="10" spans="1:14" x14ac:dyDescent="0.25">
      <c r="A10" s="1" t="str">
        <f>IF(L10="","",MAX($A$1:$A9)+1)</f>
        <v/>
      </c>
      <c r="B10" s="37"/>
      <c r="C10" s="48" t="s">
        <v>21</v>
      </c>
      <c r="D10" s="34"/>
      <c r="E10" s="35"/>
      <c r="F10" s="35"/>
      <c r="G10" s="35"/>
      <c r="H10" s="35"/>
      <c r="I10" s="35"/>
      <c r="J10" s="36"/>
      <c r="K10" s="37"/>
      <c r="L10" s="37"/>
      <c r="M10" s="38"/>
      <c r="N10" s="27"/>
    </row>
    <row r="11" spans="1:14" x14ac:dyDescent="0.25">
      <c r="A11" s="1">
        <f>IF(L11="","",MAX($A$1:$A10)+1)</f>
        <v>1</v>
      </c>
      <c r="B11" s="37" t="s">
        <v>163</v>
      </c>
      <c r="C11" s="42" t="s">
        <v>22</v>
      </c>
      <c r="D11" s="34"/>
      <c r="E11" s="35"/>
      <c r="F11" s="35"/>
      <c r="G11" s="35"/>
      <c r="H11" s="35"/>
      <c r="I11" s="35"/>
      <c r="J11" s="36"/>
      <c r="K11" s="37" t="s">
        <v>4</v>
      </c>
      <c r="L11" s="37">
        <v>1</v>
      </c>
      <c r="M11" s="38"/>
      <c r="N11" s="27">
        <f t="shared" ref="N11:N45" si="0">M11*L11</f>
        <v>0</v>
      </c>
    </row>
    <row r="12" spans="1:14" x14ac:dyDescent="0.25">
      <c r="A12" s="1">
        <f>IF(L12="","",MAX($A$1:$A11)+1)</f>
        <v>2</v>
      </c>
      <c r="B12" s="37" t="s">
        <v>164</v>
      </c>
      <c r="C12" s="42" t="s">
        <v>157</v>
      </c>
      <c r="D12" s="34"/>
      <c r="E12" s="35"/>
      <c r="F12" s="35"/>
      <c r="G12" s="35"/>
      <c r="H12" s="35"/>
      <c r="I12" s="35"/>
      <c r="J12" s="36"/>
      <c r="K12" s="37" t="s">
        <v>4</v>
      </c>
      <c r="L12" s="37">
        <v>1</v>
      </c>
      <c r="M12" s="38"/>
      <c r="N12" s="27">
        <f t="shared" si="0"/>
        <v>0</v>
      </c>
    </row>
    <row r="13" spans="1:14" x14ac:dyDescent="0.25">
      <c r="A13" s="1">
        <f>IF(L13="","",MAX($A$1:$A12)+1)</f>
        <v>3</v>
      </c>
      <c r="B13" s="37" t="s">
        <v>165</v>
      </c>
      <c r="C13" s="84" t="s">
        <v>175</v>
      </c>
      <c r="D13" s="34"/>
      <c r="E13" s="35"/>
      <c r="F13" s="35"/>
      <c r="G13" s="35"/>
      <c r="H13" s="35"/>
      <c r="I13" s="35"/>
      <c r="J13" s="36"/>
      <c r="K13" s="37" t="s">
        <v>4</v>
      </c>
      <c r="L13" s="37">
        <v>1</v>
      </c>
      <c r="M13" s="38"/>
      <c r="N13" s="27">
        <f t="shared" si="0"/>
        <v>0</v>
      </c>
    </row>
    <row r="14" spans="1:14" x14ac:dyDescent="0.25">
      <c r="A14" s="1" t="str">
        <f>IF(L14="","",MAX($A$1:$A13)+1)</f>
        <v/>
      </c>
      <c r="B14" s="37"/>
      <c r="C14" s="39"/>
      <c r="D14" s="34"/>
      <c r="E14" s="35"/>
      <c r="F14" s="35"/>
      <c r="G14" s="35"/>
      <c r="H14" s="35"/>
      <c r="I14" s="35"/>
      <c r="J14" s="36"/>
      <c r="K14" s="37"/>
      <c r="L14" s="37"/>
      <c r="M14" s="38"/>
      <c r="N14" s="27"/>
    </row>
    <row r="15" spans="1:14" x14ac:dyDescent="0.25">
      <c r="A15" s="1" t="str">
        <f>IF(L15="","",MAX($A$1:$A14)+1)</f>
        <v/>
      </c>
      <c r="B15" s="37"/>
      <c r="C15" s="48" t="s">
        <v>24</v>
      </c>
      <c r="D15" s="34"/>
      <c r="E15" s="35"/>
      <c r="F15" s="35"/>
      <c r="G15" s="35"/>
      <c r="H15" s="35"/>
      <c r="I15" s="35"/>
      <c r="J15" s="36"/>
      <c r="K15" s="37"/>
      <c r="L15" s="37"/>
      <c r="M15" s="38"/>
      <c r="N15" s="27"/>
    </row>
    <row r="16" spans="1:14" hidden="1" outlineLevel="1" x14ac:dyDescent="0.25">
      <c r="A16" s="1" t="str">
        <f>IF(L16="","",MAX($A$1:$A15)+1)</f>
        <v/>
      </c>
      <c r="B16" s="37"/>
      <c r="C16" s="48"/>
      <c r="D16" s="34" t="s">
        <v>25</v>
      </c>
      <c r="E16" s="35"/>
      <c r="F16" s="35"/>
      <c r="G16" s="51" t="s">
        <v>17</v>
      </c>
      <c r="H16" s="51">
        <f>H31</f>
        <v>8.4</v>
      </c>
      <c r="I16" s="35"/>
      <c r="J16" s="36"/>
      <c r="K16" s="37"/>
      <c r="L16" s="37"/>
      <c r="M16" s="38"/>
      <c r="N16" s="27">
        <f t="shared" si="0"/>
        <v>0</v>
      </c>
    </row>
    <row r="17" spans="1:14" hidden="1" outlineLevel="1" x14ac:dyDescent="0.25">
      <c r="A17" s="1" t="str">
        <f>IF(L17="","",MAX($A$1:$A16)+1)</f>
        <v/>
      </c>
      <c r="B17" s="37"/>
      <c r="C17" s="48"/>
      <c r="D17" s="34"/>
      <c r="E17" s="35"/>
      <c r="F17" s="35"/>
      <c r="G17" s="35"/>
      <c r="H17" s="35"/>
      <c r="I17" s="35"/>
      <c r="J17" s="36"/>
      <c r="K17" s="37"/>
      <c r="L17" s="37"/>
      <c r="M17" s="38"/>
      <c r="N17" s="27">
        <f t="shared" si="0"/>
        <v>0</v>
      </c>
    </row>
    <row r="18" spans="1:14" hidden="1" outlineLevel="1" x14ac:dyDescent="0.25">
      <c r="A18" s="1" t="str">
        <f>IF(L18="","",MAX($A$1:$A17)+1)</f>
        <v/>
      </c>
      <c r="B18" s="37"/>
      <c r="C18" s="48"/>
      <c r="D18" s="34" t="s">
        <v>26</v>
      </c>
      <c r="E18" s="35" t="s">
        <v>17</v>
      </c>
      <c r="F18" s="51">
        <f>8*6*(5*0.08*0.1)</f>
        <v>1.92</v>
      </c>
      <c r="G18" s="35"/>
      <c r="H18" s="35"/>
      <c r="I18" s="35"/>
      <c r="J18" s="36"/>
      <c r="K18" s="37"/>
      <c r="L18" s="37"/>
      <c r="M18" s="38"/>
      <c r="N18" s="27">
        <f t="shared" si="0"/>
        <v>0</v>
      </c>
    </row>
    <row r="19" spans="1:14" hidden="1" outlineLevel="1" x14ac:dyDescent="0.25">
      <c r="A19" s="1" t="str">
        <f>IF(L19="","",MAX($A$1:$A18)+1)</f>
        <v/>
      </c>
      <c r="B19" s="37"/>
      <c r="C19" s="48"/>
      <c r="D19" s="34" t="s">
        <v>27</v>
      </c>
      <c r="E19" s="35" t="s">
        <v>17</v>
      </c>
      <c r="F19" s="51">
        <f>8*6*(3.5*0.08*0.1)</f>
        <v>1.3440000000000001</v>
      </c>
      <c r="G19" s="35"/>
      <c r="H19" s="35"/>
      <c r="I19" s="35"/>
      <c r="J19" s="36"/>
      <c r="K19" s="37"/>
      <c r="L19" s="37"/>
      <c r="M19" s="38"/>
      <c r="N19" s="27">
        <f t="shared" si="0"/>
        <v>0</v>
      </c>
    </row>
    <row r="20" spans="1:14" hidden="1" outlineLevel="1" x14ac:dyDescent="0.25">
      <c r="A20" s="1" t="str">
        <f>IF(L20="","",MAX($A$1:$A19)+1)</f>
        <v/>
      </c>
      <c r="B20" s="37"/>
      <c r="C20" s="48"/>
      <c r="D20" s="34" t="s">
        <v>28</v>
      </c>
      <c r="E20" s="35" t="s">
        <v>17</v>
      </c>
      <c r="F20" s="51">
        <f>8*6*(2.3*0.08*0.1)</f>
        <v>0.88300000000000001</v>
      </c>
      <c r="G20" s="35"/>
      <c r="H20" s="35"/>
      <c r="I20" s="35"/>
      <c r="J20" s="36"/>
      <c r="K20" s="37"/>
      <c r="L20" s="37"/>
      <c r="M20" s="38"/>
      <c r="N20" s="27">
        <f t="shared" si="0"/>
        <v>0</v>
      </c>
    </row>
    <row r="21" spans="1:14" hidden="1" outlineLevel="1" x14ac:dyDescent="0.25">
      <c r="A21" s="1" t="str">
        <f>IF(L21="","",MAX($A$1:$A20)+1)</f>
        <v/>
      </c>
      <c r="B21" s="37"/>
      <c r="C21" s="48"/>
      <c r="D21" s="34" t="s">
        <v>29</v>
      </c>
      <c r="E21" s="35" t="s">
        <v>17</v>
      </c>
      <c r="F21" s="51">
        <f>8*2.4*0.08*0.1</f>
        <v>0.154</v>
      </c>
      <c r="G21" s="35"/>
      <c r="H21" s="35"/>
      <c r="I21" s="35"/>
      <c r="J21" s="36"/>
      <c r="K21" s="37"/>
      <c r="L21" s="37"/>
      <c r="M21" s="38"/>
      <c r="N21" s="27">
        <f t="shared" si="0"/>
        <v>0</v>
      </c>
    </row>
    <row r="22" spans="1:14" hidden="1" outlineLevel="1" x14ac:dyDescent="0.25">
      <c r="A22" s="1" t="str">
        <f>IF(L22="","",MAX($A$1:$A21)+1)</f>
        <v/>
      </c>
      <c r="B22" s="37"/>
      <c r="C22" s="48"/>
      <c r="D22" s="34" t="s">
        <v>30</v>
      </c>
      <c r="E22" s="35" t="s">
        <v>17</v>
      </c>
      <c r="F22" s="51">
        <f>8*6*(0.9*0.08*0.1)</f>
        <v>0.34599999999999997</v>
      </c>
      <c r="G22" s="35"/>
      <c r="H22" s="35"/>
      <c r="I22" s="35"/>
      <c r="J22" s="36"/>
      <c r="K22" s="37"/>
      <c r="L22" s="37"/>
      <c r="M22" s="38"/>
      <c r="N22" s="27">
        <f t="shared" si="0"/>
        <v>0</v>
      </c>
    </row>
    <row r="23" spans="1:14" hidden="1" outlineLevel="1" x14ac:dyDescent="0.25">
      <c r="A23" s="1" t="str">
        <f>IF(L23="","",MAX($A$1:$A22)+1)</f>
        <v/>
      </c>
      <c r="B23" s="37"/>
      <c r="C23" s="48"/>
      <c r="D23" s="34" t="s">
        <v>31</v>
      </c>
      <c r="E23" s="35" t="s">
        <v>17</v>
      </c>
      <c r="F23" s="51">
        <f>8*6*(0.8*0.08*0.1)</f>
        <v>0.307</v>
      </c>
      <c r="G23" s="35"/>
      <c r="H23" s="35"/>
      <c r="I23" s="35"/>
      <c r="J23" s="36"/>
      <c r="K23" s="37"/>
      <c r="L23" s="37"/>
      <c r="M23" s="38"/>
      <c r="N23" s="27">
        <f t="shared" si="0"/>
        <v>0</v>
      </c>
    </row>
    <row r="24" spans="1:14" hidden="1" outlineLevel="1" x14ac:dyDescent="0.25">
      <c r="A24" s="1" t="str">
        <f>IF(L24="","",MAX($A$1:$A23)+1)</f>
        <v/>
      </c>
      <c r="B24" s="37"/>
      <c r="C24" s="48"/>
      <c r="D24" s="34" t="s">
        <v>32</v>
      </c>
      <c r="E24" s="35"/>
      <c r="F24" s="51"/>
      <c r="G24" s="35"/>
      <c r="H24" s="35"/>
      <c r="I24" s="35"/>
      <c r="J24" s="36"/>
      <c r="K24" s="37"/>
      <c r="L24" s="37"/>
      <c r="M24" s="38"/>
      <c r="N24" s="27">
        <f t="shared" si="0"/>
        <v>0</v>
      </c>
    </row>
    <row r="25" spans="1:14" hidden="1" outlineLevel="1" x14ac:dyDescent="0.25">
      <c r="A25" s="1" t="str">
        <f>IF(L25="","",MAX($A$1:$A24)+1)</f>
        <v/>
      </c>
      <c r="B25" s="37"/>
      <c r="C25" s="48"/>
      <c r="D25" s="52" t="s">
        <v>33</v>
      </c>
      <c r="E25" s="35" t="s">
        <v>17</v>
      </c>
      <c r="F25" s="51">
        <f>4*2*2.6*0.1*0.225</f>
        <v>0.46800000000000003</v>
      </c>
      <c r="G25" s="35"/>
      <c r="H25" s="35"/>
      <c r="I25" s="35"/>
      <c r="J25" s="36"/>
      <c r="K25" s="37"/>
      <c r="L25" s="37"/>
      <c r="M25" s="38"/>
      <c r="N25" s="27">
        <f t="shared" si="0"/>
        <v>0</v>
      </c>
    </row>
    <row r="26" spans="1:14" hidden="1" outlineLevel="1" x14ac:dyDescent="0.25">
      <c r="A26" s="1" t="str">
        <f>IF(L26="","",MAX($A$1:$A25)+1)</f>
        <v/>
      </c>
      <c r="B26" s="37"/>
      <c r="C26" s="48"/>
      <c r="D26" s="52" t="s">
        <v>34</v>
      </c>
      <c r="E26" s="35" t="s">
        <v>17</v>
      </c>
      <c r="F26" s="51">
        <f>4*2*2.5*0.1*0.225</f>
        <v>0.45</v>
      </c>
      <c r="G26" s="35"/>
      <c r="H26" s="35"/>
      <c r="I26" s="35"/>
      <c r="J26" s="36"/>
      <c r="K26" s="37"/>
      <c r="L26" s="37"/>
      <c r="M26" s="38"/>
      <c r="N26" s="27">
        <f t="shared" si="0"/>
        <v>0</v>
      </c>
    </row>
    <row r="27" spans="1:14" hidden="1" outlineLevel="1" x14ac:dyDescent="0.25">
      <c r="A27" s="1" t="str">
        <f>IF(L27="","",MAX($A$1:$A26)+1)</f>
        <v/>
      </c>
      <c r="B27" s="37"/>
      <c r="C27" s="48"/>
      <c r="D27" s="52" t="s">
        <v>35</v>
      </c>
      <c r="E27" s="35" t="s">
        <v>17</v>
      </c>
      <c r="F27" s="51">
        <f>4*2*0.55*0.1*0.225</f>
        <v>9.9000000000000005E-2</v>
      </c>
      <c r="G27" s="35"/>
      <c r="H27" s="35"/>
      <c r="I27" s="35"/>
      <c r="J27" s="36"/>
      <c r="K27" s="37"/>
      <c r="L27" s="37"/>
      <c r="M27" s="38"/>
      <c r="N27" s="27">
        <f t="shared" si="0"/>
        <v>0</v>
      </c>
    </row>
    <row r="28" spans="1:14" hidden="1" outlineLevel="1" x14ac:dyDescent="0.25">
      <c r="A28" s="1" t="str">
        <f>IF(L28="","",MAX($A$1:$A27)+1)</f>
        <v/>
      </c>
      <c r="B28" s="37"/>
      <c r="C28" s="48"/>
      <c r="D28" s="52" t="s">
        <v>36</v>
      </c>
      <c r="E28" s="35" t="s">
        <v>17</v>
      </c>
      <c r="F28" s="51">
        <f>PI()*2.1*(1.8*0.15)</f>
        <v>1.7809999999999999</v>
      </c>
      <c r="G28" s="35"/>
      <c r="H28" s="35"/>
      <c r="I28" s="35"/>
      <c r="J28" s="36"/>
      <c r="K28" s="37"/>
      <c r="L28" s="37"/>
      <c r="M28" s="38"/>
      <c r="N28" s="27">
        <f t="shared" si="0"/>
        <v>0</v>
      </c>
    </row>
    <row r="29" spans="1:14" hidden="1" outlineLevel="1" x14ac:dyDescent="0.25">
      <c r="A29" s="1" t="str">
        <f>IF(L29="","",MAX($A$1:$A28)+1)</f>
        <v/>
      </c>
      <c r="B29" s="37"/>
      <c r="C29" s="48"/>
      <c r="D29" s="34" t="s">
        <v>37</v>
      </c>
      <c r="E29" s="35" t="s">
        <v>17</v>
      </c>
      <c r="F29" s="51">
        <f>PI()*2.1*0.175*0.225</f>
        <v>0.26</v>
      </c>
      <c r="G29" s="35"/>
      <c r="H29" s="35"/>
      <c r="I29" s="35"/>
      <c r="J29" s="36"/>
      <c r="K29" s="37"/>
      <c r="L29" s="37"/>
      <c r="M29" s="38"/>
      <c r="N29" s="27">
        <f t="shared" si="0"/>
        <v>0</v>
      </c>
    </row>
    <row r="30" spans="1:14" hidden="1" outlineLevel="1" x14ac:dyDescent="0.25">
      <c r="A30" s="1" t="str">
        <f>IF(L30="","",MAX($A$1:$A29)+1)</f>
        <v/>
      </c>
      <c r="B30" s="37"/>
      <c r="C30" s="48"/>
      <c r="D30" s="34" t="s">
        <v>38</v>
      </c>
      <c r="E30" s="35" t="s">
        <v>17</v>
      </c>
      <c r="F30" s="51">
        <f>PI()*2.1*0.175*0.3</f>
        <v>0.34599999999999997</v>
      </c>
      <c r="G30" s="35"/>
      <c r="H30" s="35"/>
      <c r="I30" s="35"/>
      <c r="J30" s="36"/>
      <c r="K30" s="37"/>
      <c r="L30" s="37"/>
      <c r="M30" s="38"/>
      <c r="N30" s="27">
        <f t="shared" si="0"/>
        <v>0</v>
      </c>
    </row>
    <row r="31" spans="1:14" hidden="1" outlineLevel="1" x14ac:dyDescent="0.25">
      <c r="A31" s="1" t="str">
        <f>IF(L31="","",MAX($A$1:$A30)+1)</f>
        <v/>
      </c>
      <c r="B31" s="37"/>
      <c r="C31" s="48"/>
      <c r="D31" s="34"/>
      <c r="E31" s="35"/>
      <c r="F31" s="35">
        <v>4.2000000000000003E-2</v>
      </c>
      <c r="G31" s="35" t="s">
        <v>17</v>
      </c>
      <c r="H31" s="51">
        <f>SUM(F18:F31)</f>
        <v>8.4</v>
      </c>
      <c r="I31" s="35"/>
      <c r="J31" s="36"/>
      <c r="K31" s="37"/>
      <c r="L31" s="37"/>
      <c r="M31" s="38"/>
      <c r="N31" s="27">
        <f t="shared" si="0"/>
        <v>0</v>
      </c>
    </row>
    <row r="32" spans="1:14" collapsed="1" x14ac:dyDescent="0.25">
      <c r="A32" s="1">
        <f>IF(L32="","",MAX($A$1:$A31)+1)</f>
        <v>4</v>
      </c>
      <c r="B32" s="37" t="s">
        <v>167</v>
      </c>
      <c r="C32" s="42" t="s">
        <v>39</v>
      </c>
      <c r="D32" s="34"/>
      <c r="E32" s="35"/>
      <c r="F32" s="35"/>
      <c r="G32" s="35"/>
      <c r="H32" s="35"/>
      <c r="I32" s="35"/>
      <c r="J32" s="36"/>
      <c r="K32" s="37" t="s">
        <v>4</v>
      </c>
      <c r="L32" s="37">
        <v>1</v>
      </c>
      <c r="M32" s="38"/>
      <c r="N32" s="27">
        <f t="shared" si="0"/>
        <v>0</v>
      </c>
    </row>
    <row r="33" spans="1:14" x14ac:dyDescent="0.25">
      <c r="A33" s="1">
        <f>IF(L33="","",MAX($A$1:$A32)+1)</f>
        <v>5</v>
      </c>
      <c r="B33" s="37" t="s">
        <v>167</v>
      </c>
      <c r="C33" s="42" t="s">
        <v>41</v>
      </c>
      <c r="D33" s="34"/>
      <c r="E33" s="35"/>
      <c r="F33" s="35"/>
      <c r="G33" s="35"/>
      <c r="H33" s="35"/>
      <c r="I33" s="35"/>
      <c r="J33" s="36"/>
      <c r="K33" s="37" t="s">
        <v>6</v>
      </c>
      <c r="L33" s="53">
        <v>8.4</v>
      </c>
      <c r="M33" s="38"/>
      <c r="N33" s="27">
        <f t="shared" si="0"/>
        <v>0</v>
      </c>
    </row>
    <row r="34" spans="1:14" x14ac:dyDescent="0.25">
      <c r="A34" s="1">
        <f>IF(L34="","",MAX($A$1:$A33)+1)</f>
        <v>6</v>
      </c>
      <c r="B34" s="37" t="s">
        <v>167</v>
      </c>
      <c r="C34" s="42" t="s">
        <v>42</v>
      </c>
      <c r="D34" s="18"/>
      <c r="E34" s="35"/>
      <c r="F34" s="35"/>
      <c r="G34" s="35"/>
      <c r="H34" s="35"/>
      <c r="I34" s="35"/>
      <c r="J34" s="36"/>
      <c r="K34" s="37" t="s">
        <v>4</v>
      </c>
      <c r="L34" s="37">
        <v>1</v>
      </c>
      <c r="M34" s="38"/>
      <c r="N34" s="27">
        <f t="shared" si="0"/>
        <v>0</v>
      </c>
    </row>
    <row r="35" spans="1:14" ht="33.75" hidden="1" outlineLevel="1" x14ac:dyDescent="0.25">
      <c r="A35" s="1" t="str">
        <f>IF(L35="","",MAX($A$1:$A34)+1)</f>
        <v/>
      </c>
      <c r="B35" s="37"/>
      <c r="C35" s="42"/>
      <c r="D35" s="44" t="s">
        <v>43</v>
      </c>
      <c r="E35" s="35"/>
      <c r="F35" s="35"/>
      <c r="G35" s="35"/>
      <c r="H35" s="35"/>
      <c r="I35" s="35"/>
      <c r="J35" s="36"/>
      <c r="K35" s="37"/>
      <c r="L35" s="37"/>
      <c r="M35" s="38"/>
      <c r="N35" s="27">
        <f t="shared" si="0"/>
        <v>0</v>
      </c>
    </row>
    <row r="36" spans="1:14" collapsed="1" x14ac:dyDescent="0.25">
      <c r="A36" s="1">
        <f>IF(L36="","",MAX($A$1:$A35)+1)</f>
        <v>7</v>
      </c>
      <c r="B36" s="37" t="s">
        <v>167</v>
      </c>
      <c r="C36" s="42" t="s">
        <v>154</v>
      </c>
      <c r="D36" s="34" t="s">
        <v>44</v>
      </c>
      <c r="E36" s="35"/>
      <c r="F36" s="35"/>
      <c r="G36" s="35"/>
      <c r="H36" s="35"/>
      <c r="I36" s="35"/>
      <c r="J36" s="36"/>
      <c r="K36" s="37" t="s">
        <v>6</v>
      </c>
      <c r="L36" s="53">
        <v>1.68</v>
      </c>
      <c r="M36" s="38"/>
      <c r="N36" s="27">
        <f t="shared" si="0"/>
        <v>0</v>
      </c>
    </row>
    <row r="37" spans="1:14" x14ac:dyDescent="0.25">
      <c r="A37" s="1" t="str">
        <f>IF(L37="","",MAX($A$1:$A36)+1)</f>
        <v/>
      </c>
      <c r="B37" s="37"/>
      <c r="C37" s="39" t="s">
        <v>155</v>
      </c>
      <c r="D37" s="34" t="s">
        <v>44</v>
      </c>
      <c r="E37" s="35"/>
      <c r="F37" s="35"/>
      <c r="G37" s="35"/>
      <c r="H37" s="35"/>
      <c r="I37" s="35"/>
      <c r="J37" s="36"/>
      <c r="K37" s="37"/>
      <c r="L37" s="37"/>
      <c r="M37" s="38"/>
      <c r="N37" s="27"/>
    </row>
    <row r="38" spans="1:14" x14ac:dyDescent="0.25">
      <c r="A38" s="1">
        <f>IF(L38="","",MAX($A$1:$A37)+1)</f>
        <v>8</v>
      </c>
      <c r="B38" s="37" t="s">
        <v>167</v>
      </c>
      <c r="C38" s="42" t="s">
        <v>45</v>
      </c>
      <c r="D38" s="34"/>
      <c r="E38" s="35"/>
      <c r="F38" s="35"/>
      <c r="G38" s="35"/>
      <c r="H38" s="35"/>
      <c r="I38" s="35"/>
      <c r="J38" s="36"/>
      <c r="K38" s="37" t="s">
        <v>6</v>
      </c>
      <c r="L38" s="53">
        <v>1.68</v>
      </c>
      <c r="M38" s="38"/>
      <c r="N38" s="27">
        <f>M38*L38</f>
        <v>0</v>
      </c>
    </row>
    <row r="39" spans="1:14" x14ac:dyDescent="0.25">
      <c r="A39" s="1" t="str">
        <f>IF(L39="","",MAX($A$1:$A38)+1)</f>
        <v/>
      </c>
      <c r="B39" s="37"/>
      <c r="C39" s="39"/>
      <c r="D39" s="34"/>
      <c r="E39" s="35"/>
      <c r="F39" s="35"/>
      <c r="G39" s="35"/>
      <c r="H39" s="35"/>
      <c r="I39" s="35"/>
      <c r="J39" s="36"/>
      <c r="K39" s="37"/>
      <c r="L39" s="37"/>
      <c r="M39" s="38"/>
      <c r="N39" s="27"/>
    </row>
    <row r="40" spans="1:14" x14ac:dyDescent="0.25">
      <c r="A40" s="1">
        <f>IF(L40="","",MAX($A$1:$A39)+1)</f>
        <v>9</v>
      </c>
      <c r="B40" s="37" t="s">
        <v>167</v>
      </c>
      <c r="C40" s="67" t="s">
        <v>46</v>
      </c>
      <c r="D40" s="34"/>
      <c r="E40" s="35"/>
      <c r="F40" s="35"/>
      <c r="G40" s="35"/>
      <c r="H40" s="35"/>
      <c r="I40" s="35"/>
      <c r="J40" s="36"/>
      <c r="K40" s="37" t="s">
        <v>4</v>
      </c>
      <c r="L40" s="37">
        <v>1</v>
      </c>
      <c r="M40" s="38"/>
      <c r="N40" s="27">
        <f t="shared" si="0"/>
        <v>0</v>
      </c>
    </row>
    <row r="41" spans="1:14" ht="33.75" x14ac:dyDescent="0.25">
      <c r="A41" s="1">
        <f>IF(L41="","",MAX($A$1:$A40)+1)</f>
        <v>10</v>
      </c>
      <c r="B41" s="37" t="s">
        <v>167</v>
      </c>
      <c r="C41" s="85" t="s">
        <v>47</v>
      </c>
      <c r="D41" s="44" t="s">
        <v>48</v>
      </c>
      <c r="E41" s="35"/>
      <c r="F41" s="35"/>
      <c r="G41" s="35"/>
      <c r="H41" s="35"/>
      <c r="I41" s="35"/>
      <c r="J41" s="36"/>
      <c r="K41" s="37" t="s">
        <v>4</v>
      </c>
      <c r="L41" s="37">
        <v>1</v>
      </c>
      <c r="M41" s="38"/>
      <c r="N41" s="27">
        <f t="shared" si="0"/>
        <v>0</v>
      </c>
    </row>
    <row r="42" spans="1:14" x14ac:dyDescent="0.25">
      <c r="A42" s="1" t="str">
        <f>IF(L42="","",MAX($A$1:$A41)+1)</f>
        <v/>
      </c>
      <c r="B42" s="37"/>
      <c r="C42" s="41"/>
      <c r="D42" s="34"/>
      <c r="E42" s="35"/>
      <c r="F42" s="35"/>
      <c r="G42" s="35"/>
      <c r="H42" s="35"/>
      <c r="I42" s="35"/>
      <c r="J42" s="36"/>
      <c r="K42" s="37"/>
      <c r="L42" s="37"/>
      <c r="M42" s="38"/>
      <c r="N42" s="27"/>
    </row>
    <row r="43" spans="1:14" x14ac:dyDescent="0.25">
      <c r="A43" s="1">
        <f>IF(L43="","",MAX($A$1:$A42)+1)</f>
        <v>11</v>
      </c>
      <c r="B43" s="37" t="s">
        <v>173</v>
      </c>
      <c r="C43" s="39" t="s">
        <v>49</v>
      </c>
      <c r="D43" s="34"/>
      <c r="E43" s="35"/>
      <c r="F43" s="35"/>
      <c r="G43" s="35"/>
      <c r="H43" s="35"/>
      <c r="I43" s="35"/>
      <c r="J43" s="36"/>
      <c r="K43" s="37" t="s">
        <v>4</v>
      </c>
      <c r="L43" s="37">
        <v>1</v>
      </c>
      <c r="M43" s="38"/>
      <c r="N43" s="27">
        <f t="shared" si="0"/>
        <v>0</v>
      </c>
    </row>
    <row r="44" spans="1:14" x14ac:dyDescent="0.25">
      <c r="A44" s="1" t="str">
        <f>IF(L44="","",MAX($A$1:$A43)+1)</f>
        <v/>
      </c>
      <c r="B44" s="37"/>
      <c r="C44" s="39"/>
      <c r="D44" s="34"/>
      <c r="E44" s="35"/>
      <c r="F44" s="35"/>
      <c r="G44" s="35"/>
      <c r="H44" s="35"/>
      <c r="I44" s="35"/>
      <c r="J44" s="36"/>
      <c r="K44" s="37"/>
      <c r="L44" s="37"/>
      <c r="M44" s="38"/>
      <c r="N44" s="27"/>
    </row>
    <row r="45" spans="1:14" x14ac:dyDescent="0.25">
      <c r="A45" s="1">
        <f>IF(L45="","",MAX($A$1:$A44)+1)</f>
        <v>12</v>
      </c>
      <c r="B45" s="37" t="s">
        <v>174</v>
      </c>
      <c r="C45" s="39" t="s">
        <v>50</v>
      </c>
      <c r="D45" s="34"/>
      <c r="E45" s="35"/>
      <c r="F45" s="35"/>
      <c r="G45" s="35"/>
      <c r="H45" s="35"/>
      <c r="I45" s="35"/>
      <c r="J45" s="36"/>
      <c r="K45" s="37" t="s">
        <v>4</v>
      </c>
      <c r="L45" s="37">
        <v>1</v>
      </c>
      <c r="M45" s="38"/>
      <c r="N45" s="27">
        <f t="shared" si="0"/>
        <v>0</v>
      </c>
    </row>
    <row r="46" spans="1:14" x14ac:dyDescent="0.25">
      <c r="A46" s="1" t="str">
        <f>IF(L46="","",MAX($A$1:$A45)+1)</f>
        <v/>
      </c>
      <c r="B46" s="37"/>
      <c r="C46" s="41"/>
      <c r="D46" s="34"/>
      <c r="E46" s="35"/>
      <c r="F46" s="35"/>
      <c r="G46" s="35"/>
      <c r="H46" s="35"/>
      <c r="I46" s="35"/>
      <c r="J46" s="36"/>
      <c r="K46" s="37"/>
      <c r="L46" s="37"/>
      <c r="M46" s="38"/>
      <c r="N46" s="27"/>
    </row>
    <row r="47" spans="1:14" x14ac:dyDescent="0.25">
      <c r="A47" s="1" t="str">
        <f>IF(L47="","",MAX($A$1:$A46)+1)</f>
        <v/>
      </c>
      <c r="B47" s="37"/>
      <c r="C47" s="55"/>
      <c r="D47" s="34"/>
      <c r="E47" s="35"/>
      <c r="F47" s="35"/>
      <c r="G47" s="35"/>
      <c r="H47" s="35"/>
      <c r="I47" s="35"/>
      <c r="J47" s="36"/>
      <c r="K47" s="37"/>
      <c r="L47" s="37"/>
      <c r="M47" s="38"/>
      <c r="N47" s="27"/>
    </row>
    <row r="48" spans="1:14" x14ac:dyDescent="0.25">
      <c r="A48" s="1" t="str">
        <f>IF(L48="","",MAX($A$1:$A47)+1)</f>
        <v/>
      </c>
      <c r="B48" s="37"/>
      <c r="C48" s="59"/>
      <c r="D48" s="34"/>
      <c r="E48" s="35"/>
      <c r="F48" s="35"/>
      <c r="G48" s="35"/>
      <c r="H48" s="35"/>
      <c r="I48" s="35"/>
      <c r="J48" s="36"/>
      <c r="K48" s="37"/>
      <c r="L48" s="37"/>
      <c r="M48" s="38"/>
      <c r="N48" s="27"/>
    </row>
    <row r="49" spans="1:14" x14ac:dyDescent="0.25">
      <c r="A49" s="1" t="str">
        <f>IF(L49="","",MAX($A$1:$A48)+1)</f>
        <v/>
      </c>
      <c r="B49" s="37"/>
      <c r="C49" s="57"/>
      <c r="D49" s="34"/>
      <c r="E49" s="35"/>
      <c r="F49" s="35"/>
      <c r="G49" s="35"/>
      <c r="H49" s="35"/>
      <c r="I49" s="35"/>
      <c r="J49" s="36"/>
      <c r="K49" s="37"/>
      <c r="L49" s="40"/>
      <c r="M49" s="38"/>
      <c r="N49" s="27"/>
    </row>
    <row r="50" spans="1:14" x14ac:dyDescent="0.25">
      <c r="A50" s="1" t="str">
        <f>IF(L50="","",MAX($A$1:$A49)+1)</f>
        <v/>
      </c>
      <c r="B50" s="119"/>
      <c r="C50" s="128" t="s">
        <v>55</v>
      </c>
      <c r="D50" s="129"/>
      <c r="E50" s="129"/>
      <c r="F50" s="129"/>
      <c r="G50" s="129"/>
      <c r="H50" s="129"/>
      <c r="I50" s="129"/>
      <c r="J50" s="129"/>
      <c r="K50" s="129"/>
      <c r="L50" s="129"/>
      <c r="M50" s="130"/>
      <c r="N50" s="22">
        <f>SUM(N8:N47)</f>
        <v>0</v>
      </c>
    </row>
    <row r="51" spans="1:14" x14ac:dyDescent="0.25">
      <c r="A51" s="1" t="str">
        <f>IF(L52="","",MAX($A$1:$A50)+1)</f>
        <v/>
      </c>
      <c r="B51" s="119"/>
      <c r="C51" s="131" t="s">
        <v>13</v>
      </c>
      <c r="D51" s="132"/>
      <c r="E51" s="132"/>
      <c r="F51" s="132"/>
      <c r="G51" s="132"/>
      <c r="H51" s="132"/>
      <c r="I51" s="132"/>
      <c r="J51" s="132"/>
      <c r="K51" s="132"/>
      <c r="L51" s="132"/>
      <c r="M51" s="133"/>
      <c r="N51" s="23">
        <f>0.2*N50</f>
        <v>0</v>
      </c>
    </row>
    <row r="52" spans="1:14" x14ac:dyDescent="0.25">
      <c r="A52" s="1" t="str">
        <f>IF(L53="","",MAX($A$1:$A51)+1)</f>
        <v/>
      </c>
      <c r="B52" s="120"/>
      <c r="C52" s="134" t="s">
        <v>56</v>
      </c>
      <c r="D52" s="135"/>
      <c r="E52" s="135"/>
      <c r="F52" s="135"/>
      <c r="G52" s="135"/>
      <c r="H52" s="135"/>
      <c r="I52" s="135"/>
      <c r="J52" s="135"/>
      <c r="K52" s="135"/>
      <c r="L52" s="135"/>
      <c r="M52" s="136"/>
      <c r="N52" s="106">
        <f>N51+N50</f>
        <v>0</v>
      </c>
    </row>
    <row r="53" spans="1:14" x14ac:dyDescent="0.25">
      <c r="A53" s="107"/>
    </row>
    <row r="60" spans="1:14" x14ac:dyDescent="0.25">
      <c r="M60">
        <v>150</v>
      </c>
    </row>
  </sheetData>
  <mergeCells count="4">
    <mergeCell ref="D1:J1"/>
    <mergeCell ref="C50:M50"/>
    <mergeCell ref="C51:M51"/>
    <mergeCell ref="C52:M52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B9538-6DCC-4851-82C9-0433DE616F4A}">
  <sheetPr codeName="Feuil16">
    <tabColor theme="9"/>
    <pageSetUpPr fitToPage="1"/>
  </sheetPr>
  <dimension ref="A1:N136"/>
  <sheetViews>
    <sheetView showGridLines="0" view="pageBreakPreview" zoomScaleNormal="100" zoomScaleSheetLayoutView="100" workbookViewId="0">
      <selection activeCell="B100" sqref="B100"/>
    </sheetView>
  </sheetViews>
  <sheetFormatPr baseColWidth="10" defaultRowHeight="15" outlineLevelRow="2" outlineLevelCol="1" x14ac:dyDescent="0.25"/>
  <cols>
    <col min="1" max="1" width="6" style="6" customWidth="1"/>
    <col min="2" max="2" width="6" style="122" customWidth="1"/>
    <col min="3" max="3" width="57.85546875" style="88" customWidth="1"/>
    <col min="4" max="4" width="40.42578125" style="32" hidden="1" customWidth="1" outlineLevel="1"/>
    <col min="5" max="5" width="3.42578125" style="33" hidden="1" customWidth="1" outlineLevel="1"/>
    <col min="6" max="6" width="8.5703125" style="33" hidden="1" customWidth="1" outlineLevel="1"/>
    <col min="7" max="7" width="3.7109375" style="33" hidden="1" customWidth="1" outlineLevel="1"/>
    <col min="8" max="8" width="8.5703125" style="33" hidden="1" customWidth="1" outlineLevel="1"/>
    <col min="9" max="9" width="2.7109375" style="33" hidden="1" customWidth="1" outlineLevel="1"/>
    <col min="10" max="10" width="8.42578125" style="33" hidden="1" customWidth="1" outlineLevel="1"/>
    <col min="11" max="11" width="7.140625" style="9" customWidth="1" collapsed="1"/>
    <col min="12" max="12" width="6.85546875" style="9" customWidth="1"/>
    <col min="13" max="13" width="10.28515625" style="24" bestFit="1" customWidth="1"/>
    <col min="14" max="14" width="17.5703125" style="24" customWidth="1"/>
  </cols>
  <sheetData>
    <row r="1" spans="1:14" s="5" customFormat="1" ht="12" x14ac:dyDescent="0.2">
      <c r="A1" s="2" t="s">
        <v>7</v>
      </c>
      <c r="B1" s="81" t="s">
        <v>10</v>
      </c>
      <c r="C1" s="3" t="s">
        <v>0</v>
      </c>
      <c r="D1" s="137" t="s">
        <v>16</v>
      </c>
      <c r="E1" s="138"/>
      <c r="F1" s="138"/>
      <c r="G1" s="138"/>
      <c r="H1" s="138"/>
      <c r="I1" s="138"/>
      <c r="J1" s="139"/>
      <c r="K1" s="3" t="s">
        <v>1</v>
      </c>
      <c r="L1" s="3" t="s">
        <v>2</v>
      </c>
      <c r="M1" s="4" t="s">
        <v>3</v>
      </c>
      <c r="N1" s="4" t="s">
        <v>11</v>
      </c>
    </row>
    <row r="2" spans="1:14" x14ac:dyDescent="0.25">
      <c r="A2" s="11"/>
      <c r="B2" s="102"/>
      <c r="C2" s="87"/>
      <c r="D2" s="34"/>
      <c r="E2" s="35"/>
      <c r="F2" s="35"/>
      <c r="G2" s="35"/>
      <c r="H2" s="35"/>
      <c r="I2" s="35"/>
      <c r="J2" s="35"/>
      <c r="K2" s="12"/>
      <c r="L2" s="12"/>
      <c r="M2" s="13"/>
      <c r="N2" s="13"/>
    </row>
    <row r="3" spans="1:14" x14ac:dyDescent="0.25">
      <c r="A3" s="11"/>
      <c r="B3" s="102"/>
      <c r="C3" s="87"/>
      <c r="D3" s="34"/>
      <c r="E3" s="35"/>
      <c r="F3" s="35"/>
      <c r="G3" s="35"/>
      <c r="H3" s="35"/>
      <c r="I3" s="35"/>
      <c r="J3" s="35"/>
      <c r="K3" s="12"/>
      <c r="L3" s="12"/>
      <c r="M3" s="13"/>
      <c r="N3" s="13"/>
    </row>
    <row r="4" spans="1:14" x14ac:dyDescent="0.25">
      <c r="A4" s="11"/>
      <c r="B4" s="102"/>
      <c r="C4" s="20" t="s">
        <v>19</v>
      </c>
      <c r="D4" s="34"/>
      <c r="E4" s="35"/>
      <c r="F4" s="35"/>
      <c r="G4" s="35"/>
      <c r="H4" s="35"/>
      <c r="I4" s="35"/>
      <c r="J4" s="35"/>
      <c r="K4" s="12"/>
      <c r="L4" s="12"/>
      <c r="M4" s="13"/>
      <c r="N4" s="13"/>
    </row>
    <row r="5" spans="1:14" x14ac:dyDescent="0.25">
      <c r="A5" s="11"/>
      <c r="B5" s="102"/>
      <c r="C5" s="87"/>
      <c r="D5" s="34"/>
      <c r="E5" s="35"/>
      <c r="F5" s="35"/>
      <c r="G5" s="35"/>
      <c r="H5" s="35"/>
      <c r="I5" s="35"/>
      <c r="J5" s="35"/>
      <c r="K5" s="12"/>
      <c r="L5" s="12"/>
      <c r="M5" s="13"/>
      <c r="N5" s="13"/>
    </row>
    <row r="6" spans="1:14" x14ac:dyDescent="0.25">
      <c r="A6" s="11"/>
      <c r="B6" s="102"/>
      <c r="C6" s="45" t="s">
        <v>14</v>
      </c>
      <c r="D6" s="34"/>
      <c r="E6" s="35"/>
      <c r="F6" s="35"/>
      <c r="G6" s="35"/>
      <c r="H6" s="35"/>
      <c r="I6" s="35"/>
      <c r="J6" s="35"/>
      <c r="K6" s="12"/>
      <c r="L6" s="12"/>
      <c r="M6" s="13"/>
      <c r="N6" s="13"/>
    </row>
    <row r="7" spans="1:14" x14ac:dyDescent="0.25">
      <c r="A7" s="1" t="str">
        <f>IF(M7="","",MAX($A$1:$A6)+1)</f>
        <v/>
      </c>
      <c r="B7" s="102"/>
      <c r="C7" s="87"/>
      <c r="D7" s="34"/>
      <c r="E7" s="35"/>
      <c r="F7" s="35"/>
      <c r="G7" s="35"/>
      <c r="H7" s="35"/>
      <c r="I7" s="35"/>
      <c r="J7" s="35"/>
      <c r="K7" s="12"/>
      <c r="L7" s="12"/>
      <c r="M7" s="13"/>
      <c r="N7" s="13"/>
    </row>
    <row r="8" spans="1:14" x14ac:dyDescent="0.25">
      <c r="A8" s="1" t="str">
        <f>IF(L8="","",MAX($A$1:$A7)+1)</f>
        <v/>
      </c>
      <c r="B8" s="102" t="s">
        <v>170</v>
      </c>
      <c r="C8" s="75" t="s">
        <v>20</v>
      </c>
      <c r="D8" s="34"/>
      <c r="E8" s="35"/>
      <c r="F8" s="35"/>
      <c r="G8" s="35"/>
      <c r="H8" s="35"/>
      <c r="I8" s="35"/>
      <c r="J8" s="35"/>
      <c r="K8" s="12"/>
      <c r="L8" s="12"/>
      <c r="M8" s="13"/>
      <c r="N8" s="13"/>
    </row>
    <row r="9" spans="1:14" x14ac:dyDescent="0.25">
      <c r="A9" s="1" t="str">
        <f>IF(L9="","",MAX($A$1:$A8)+1)</f>
        <v/>
      </c>
      <c r="B9" s="102"/>
      <c r="C9" s="75"/>
      <c r="D9" s="34"/>
      <c r="E9" s="35"/>
      <c r="F9" s="35"/>
      <c r="G9" s="35"/>
      <c r="H9" s="35"/>
      <c r="I9" s="35"/>
      <c r="J9" s="35"/>
      <c r="K9" s="12"/>
      <c r="L9" s="12"/>
      <c r="M9" s="13"/>
      <c r="N9" s="13"/>
    </row>
    <row r="10" spans="1:14" x14ac:dyDescent="0.25">
      <c r="A10" s="1" t="str">
        <f>IF(L10="","",MAX($A$1:$A9)+1)</f>
        <v/>
      </c>
      <c r="B10" s="102"/>
      <c r="C10" s="68" t="s">
        <v>21</v>
      </c>
      <c r="D10" s="34"/>
      <c r="E10" s="35"/>
      <c r="F10" s="35"/>
      <c r="G10" s="35"/>
      <c r="H10" s="35"/>
      <c r="I10" s="35"/>
      <c r="J10" s="35"/>
      <c r="K10" s="12"/>
      <c r="L10" s="12"/>
      <c r="M10" s="13"/>
      <c r="N10" s="13"/>
    </row>
    <row r="11" spans="1:14" x14ac:dyDescent="0.25">
      <c r="A11" s="1">
        <f>IF(L11="","",MAX($A$1:$A10)+1)</f>
        <v>1</v>
      </c>
      <c r="B11" s="102" t="s">
        <v>163</v>
      </c>
      <c r="C11" s="42" t="s">
        <v>22</v>
      </c>
      <c r="D11" s="34"/>
      <c r="E11" s="35"/>
      <c r="F11" s="35"/>
      <c r="G11" s="35"/>
      <c r="H11" s="35"/>
      <c r="I11" s="35"/>
      <c r="J11" s="36"/>
      <c r="K11" s="37" t="s">
        <v>4</v>
      </c>
      <c r="L11" s="37">
        <v>1</v>
      </c>
      <c r="M11" s="38"/>
      <c r="N11" s="27">
        <f t="shared" ref="N11:N12" si="0">M11*L11</f>
        <v>0</v>
      </c>
    </row>
    <row r="12" spans="1:14" x14ac:dyDescent="0.25">
      <c r="A12" s="1">
        <f>IF(L12="","",MAX($A$1:$A11)+1)</f>
        <v>2</v>
      </c>
      <c r="B12" s="102" t="s">
        <v>164</v>
      </c>
      <c r="C12" s="42" t="s">
        <v>156</v>
      </c>
      <c r="D12" s="34"/>
      <c r="E12" s="35"/>
      <c r="F12" s="35"/>
      <c r="G12" s="35"/>
      <c r="H12" s="35"/>
      <c r="I12" s="35"/>
      <c r="J12" s="36"/>
      <c r="K12" s="37" t="s">
        <v>4</v>
      </c>
      <c r="L12" s="37">
        <v>1</v>
      </c>
      <c r="M12" s="38"/>
      <c r="N12" s="27">
        <f t="shared" si="0"/>
        <v>0</v>
      </c>
    </row>
    <row r="13" spans="1:14" x14ac:dyDescent="0.25">
      <c r="A13" s="1">
        <f>IF(L13="","",MAX($A$1:$A12)+1)</f>
        <v>3</v>
      </c>
      <c r="B13" s="102" t="s">
        <v>162</v>
      </c>
      <c r="C13" s="49" t="s">
        <v>57</v>
      </c>
      <c r="D13" s="34"/>
      <c r="E13" s="35"/>
      <c r="F13" s="35"/>
      <c r="G13" s="35"/>
      <c r="H13" s="35"/>
      <c r="I13" s="35"/>
      <c r="J13" s="35"/>
      <c r="K13" s="12" t="s">
        <v>9</v>
      </c>
      <c r="L13" s="15">
        <v>175</v>
      </c>
      <c r="M13" s="13"/>
      <c r="N13" s="13">
        <f>M13*L13</f>
        <v>0</v>
      </c>
    </row>
    <row r="14" spans="1:14" hidden="1" outlineLevel="1" x14ac:dyDescent="0.25">
      <c r="A14" s="1" t="str">
        <f>IF(L14="","",MAX($A$1:$A13)+1)</f>
        <v/>
      </c>
      <c r="B14" s="102"/>
      <c r="C14" s="49"/>
      <c r="D14" s="34" t="s">
        <v>58</v>
      </c>
      <c r="E14" s="35" t="s">
        <v>17</v>
      </c>
      <c r="F14" s="35">
        <f>8.5*7.6</f>
        <v>64.599999999999994</v>
      </c>
      <c r="G14" s="35"/>
      <c r="H14" s="35"/>
      <c r="I14" s="35"/>
      <c r="J14" s="35"/>
      <c r="K14" s="12"/>
      <c r="L14" s="12"/>
      <c r="M14" s="13"/>
      <c r="N14" s="13">
        <f t="shared" ref="N14:N74" si="1">M14*L14</f>
        <v>0</v>
      </c>
    </row>
    <row r="15" spans="1:14" hidden="1" outlineLevel="1" x14ac:dyDescent="0.25">
      <c r="A15" s="1" t="str">
        <f>IF(L15="","",MAX($A$1:$A14)+1)</f>
        <v/>
      </c>
      <c r="B15" s="102"/>
      <c r="C15" s="67"/>
      <c r="D15" s="34" t="s">
        <v>59</v>
      </c>
      <c r="E15" s="35"/>
      <c r="F15" s="35"/>
      <c r="G15" s="35"/>
      <c r="H15" s="35"/>
      <c r="I15" s="35"/>
      <c r="J15" s="36"/>
      <c r="K15" s="37"/>
      <c r="L15" s="37"/>
      <c r="M15" s="38"/>
      <c r="N15" s="13">
        <f t="shared" si="1"/>
        <v>0</v>
      </c>
    </row>
    <row r="16" spans="1:14" hidden="1" outlineLevel="1" x14ac:dyDescent="0.25">
      <c r="A16" s="1" t="str">
        <f>IF(L16="","",MAX($A$1:$A15)+1)</f>
        <v/>
      </c>
      <c r="B16" s="102"/>
      <c r="C16" s="67"/>
      <c r="D16" s="60" t="s">
        <v>60</v>
      </c>
      <c r="E16" s="61" t="s">
        <v>17</v>
      </c>
      <c r="F16" s="61">
        <f>21.45</f>
        <v>21.45</v>
      </c>
      <c r="G16" s="35"/>
      <c r="H16" s="35"/>
      <c r="I16" s="35"/>
      <c r="J16" s="36"/>
      <c r="K16" s="37"/>
      <c r="L16" s="37"/>
      <c r="M16" s="38"/>
      <c r="N16" s="13">
        <f t="shared" si="1"/>
        <v>0</v>
      </c>
    </row>
    <row r="17" spans="1:14" hidden="1" outlineLevel="1" x14ac:dyDescent="0.25">
      <c r="A17" s="1" t="str">
        <f>IF(L17="","",MAX($A$1:$A16)+1)</f>
        <v/>
      </c>
      <c r="B17" s="102"/>
      <c r="C17" s="67"/>
      <c r="D17" s="60" t="s">
        <v>61</v>
      </c>
      <c r="E17" s="61" t="s">
        <v>17</v>
      </c>
      <c r="F17" s="61">
        <f>2.88</f>
        <v>2.88</v>
      </c>
      <c r="G17" s="35"/>
      <c r="H17" s="35"/>
      <c r="I17" s="35"/>
      <c r="J17" s="36"/>
      <c r="K17" s="37"/>
      <c r="L17" s="37"/>
      <c r="M17" s="38"/>
      <c r="N17" s="13">
        <f t="shared" si="1"/>
        <v>0</v>
      </c>
    </row>
    <row r="18" spans="1:14" hidden="1" outlineLevel="1" x14ac:dyDescent="0.25">
      <c r="A18" s="1" t="str">
        <f>IF(L18="","",MAX($A$1:$A17)+1)</f>
        <v/>
      </c>
      <c r="B18" s="102"/>
      <c r="C18" s="67"/>
      <c r="D18" s="60" t="s">
        <v>62</v>
      </c>
      <c r="E18" s="61" t="s">
        <v>17</v>
      </c>
      <c r="F18" s="61">
        <f>20.12</f>
        <v>20.12</v>
      </c>
      <c r="G18" s="35"/>
      <c r="H18" s="35"/>
      <c r="I18" s="35"/>
      <c r="J18" s="36"/>
      <c r="K18" s="37"/>
      <c r="L18" s="37"/>
      <c r="M18" s="38"/>
      <c r="N18" s="13">
        <f t="shared" si="1"/>
        <v>0</v>
      </c>
    </row>
    <row r="19" spans="1:14" hidden="1" outlineLevel="1" x14ac:dyDescent="0.25">
      <c r="A19" s="1" t="str">
        <f>IF(L19="","",MAX($A$1:$A18)+1)</f>
        <v/>
      </c>
      <c r="B19" s="102"/>
      <c r="C19" s="67"/>
      <c r="D19" s="60" t="s">
        <v>63</v>
      </c>
      <c r="E19" s="61" t="s">
        <v>17</v>
      </c>
      <c r="F19" s="61">
        <f>15.23</f>
        <v>15.23</v>
      </c>
      <c r="G19" s="35"/>
      <c r="H19" s="35"/>
      <c r="I19" s="35"/>
      <c r="J19" s="36"/>
      <c r="K19" s="37"/>
      <c r="L19" s="37"/>
      <c r="M19" s="38"/>
      <c r="N19" s="13">
        <f t="shared" si="1"/>
        <v>0</v>
      </c>
    </row>
    <row r="20" spans="1:14" hidden="1" outlineLevel="1" x14ac:dyDescent="0.25">
      <c r="A20" s="1" t="str">
        <f>IF(L20="","",MAX($A$1:$A19)+1)</f>
        <v/>
      </c>
      <c r="B20" s="102"/>
      <c r="C20" s="67"/>
      <c r="D20" s="60" t="s">
        <v>64</v>
      </c>
      <c r="E20" s="61" t="s">
        <v>17</v>
      </c>
      <c r="F20" s="35">
        <f>2*2.6+1.4*1.1+2.6*0.4</f>
        <v>7.78</v>
      </c>
      <c r="G20" s="35"/>
      <c r="H20" s="35"/>
      <c r="I20" s="35"/>
      <c r="J20" s="36"/>
      <c r="K20" s="37"/>
      <c r="L20" s="37"/>
      <c r="M20" s="38"/>
      <c r="N20" s="13">
        <f t="shared" si="1"/>
        <v>0</v>
      </c>
    </row>
    <row r="21" spans="1:14" hidden="1" outlineLevel="1" x14ac:dyDescent="0.25">
      <c r="A21" s="1" t="str">
        <f>IF(L21="","",MAX($A$1:$A20)+1)</f>
        <v/>
      </c>
      <c r="B21" s="102"/>
      <c r="C21" s="67"/>
      <c r="D21" s="60" t="s">
        <v>65</v>
      </c>
      <c r="E21" s="61" t="s">
        <v>17</v>
      </c>
      <c r="F21" s="61">
        <v>1.2</v>
      </c>
      <c r="G21" s="35"/>
      <c r="H21" s="35"/>
      <c r="I21" s="35"/>
      <c r="J21" s="36"/>
      <c r="K21" s="37"/>
      <c r="L21" s="37"/>
      <c r="M21" s="38"/>
      <c r="N21" s="13">
        <f t="shared" si="1"/>
        <v>0</v>
      </c>
    </row>
    <row r="22" spans="1:14" hidden="1" outlineLevel="1" x14ac:dyDescent="0.25">
      <c r="A22" s="1" t="str">
        <f>IF(L22="","",MAX($A$1:$A21)+1)</f>
        <v/>
      </c>
      <c r="B22" s="102"/>
      <c r="C22" s="67"/>
      <c r="D22" s="60" t="s">
        <v>66</v>
      </c>
      <c r="E22" s="61" t="s">
        <v>17</v>
      </c>
      <c r="F22" s="61">
        <f>1.2</f>
        <v>1.2</v>
      </c>
      <c r="G22" s="35"/>
      <c r="H22" s="35"/>
      <c r="I22" s="35"/>
      <c r="J22" s="36"/>
      <c r="K22" s="37"/>
      <c r="L22" s="37"/>
      <c r="M22" s="38"/>
      <c r="N22" s="13">
        <f t="shared" si="1"/>
        <v>0</v>
      </c>
    </row>
    <row r="23" spans="1:14" hidden="1" outlineLevel="1" x14ac:dyDescent="0.25">
      <c r="A23" s="1" t="str">
        <f>IF(L23="","",MAX($A$1:$A22)+1)</f>
        <v/>
      </c>
      <c r="B23" s="102"/>
      <c r="C23" s="67"/>
      <c r="D23" s="60" t="s">
        <v>67</v>
      </c>
      <c r="E23" s="61" t="s">
        <v>17</v>
      </c>
      <c r="F23" s="61">
        <v>18.8</v>
      </c>
      <c r="G23" s="35"/>
      <c r="H23" s="35"/>
      <c r="I23" s="35"/>
      <c r="J23" s="36"/>
      <c r="K23" s="37"/>
      <c r="L23" s="37"/>
      <c r="M23" s="38"/>
      <c r="N23" s="13">
        <f t="shared" si="1"/>
        <v>0</v>
      </c>
    </row>
    <row r="24" spans="1:14" hidden="1" outlineLevel="1" x14ac:dyDescent="0.25">
      <c r="A24" s="1" t="str">
        <f>IF(L24="","",MAX($A$1:$A23)+1)</f>
        <v/>
      </c>
      <c r="B24" s="102"/>
      <c r="C24" s="67"/>
      <c r="D24" s="60" t="s">
        <v>68</v>
      </c>
      <c r="E24" s="61" t="s">
        <v>17</v>
      </c>
      <c r="F24" s="61">
        <v>7.14</v>
      </c>
      <c r="G24" s="35"/>
      <c r="H24" s="35"/>
      <c r="I24" s="35"/>
      <c r="J24" s="36"/>
      <c r="K24" s="37"/>
      <c r="L24" s="37"/>
      <c r="M24" s="38"/>
      <c r="N24" s="13">
        <f t="shared" si="1"/>
        <v>0</v>
      </c>
    </row>
    <row r="25" spans="1:14" hidden="1" outlineLevel="1" x14ac:dyDescent="0.25">
      <c r="A25" s="1" t="str">
        <f>IF(L25="","",MAX($A$1:$A24)+1)</f>
        <v/>
      </c>
      <c r="B25" s="102"/>
      <c r="C25" s="67"/>
      <c r="D25" s="60" t="s">
        <v>69</v>
      </c>
      <c r="E25" s="61" t="s">
        <v>17</v>
      </c>
      <c r="F25" s="61">
        <v>8.19</v>
      </c>
      <c r="G25" s="35"/>
      <c r="H25" s="35"/>
      <c r="I25" s="35"/>
      <c r="J25" s="36"/>
      <c r="K25" s="37"/>
      <c r="L25" s="37"/>
      <c r="M25" s="38"/>
      <c r="N25" s="13">
        <f t="shared" si="1"/>
        <v>0</v>
      </c>
    </row>
    <row r="26" spans="1:14" hidden="1" outlineLevel="1" x14ac:dyDescent="0.25">
      <c r="A26" s="1" t="str">
        <f>IF(L26="","",MAX($A$1:$A25)+1)</f>
        <v/>
      </c>
      <c r="B26" s="102"/>
      <c r="C26" s="67"/>
      <c r="D26" s="34"/>
      <c r="E26" s="35"/>
      <c r="F26" s="35">
        <v>6.41</v>
      </c>
      <c r="G26" s="35"/>
      <c r="H26" s="35"/>
      <c r="I26" s="35"/>
      <c r="J26" s="36"/>
      <c r="K26" s="37"/>
      <c r="L26" s="37"/>
      <c r="M26" s="38"/>
      <c r="N26" s="13">
        <f t="shared" si="1"/>
        <v>0</v>
      </c>
    </row>
    <row r="27" spans="1:14" hidden="1" outlineLevel="1" x14ac:dyDescent="0.25">
      <c r="A27" s="1" t="str">
        <f>IF(L27="","",MAX($A$1:$A26)+1)</f>
        <v/>
      </c>
      <c r="B27" s="102"/>
      <c r="C27" s="67"/>
      <c r="D27" s="34"/>
      <c r="E27" s="35"/>
      <c r="F27" s="35"/>
      <c r="G27" s="35" t="s">
        <v>17</v>
      </c>
      <c r="H27" s="35">
        <f>SUM(F14:F27)</f>
        <v>175</v>
      </c>
      <c r="I27" s="35"/>
      <c r="J27" s="36"/>
      <c r="K27" s="37"/>
      <c r="L27" s="37"/>
      <c r="M27" s="38"/>
      <c r="N27" s="13">
        <f t="shared" si="1"/>
        <v>0</v>
      </c>
    </row>
    <row r="28" spans="1:14" hidden="1" outlineLevel="1" x14ac:dyDescent="0.25">
      <c r="A28" s="1" t="str">
        <f>IF(L28="","",MAX($A$1:$A27)+1)</f>
        <v/>
      </c>
      <c r="B28" s="102"/>
      <c r="C28" s="67"/>
      <c r="D28" s="34"/>
      <c r="E28" s="35"/>
      <c r="F28" s="35"/>
      <c r="G28" s="35"/>
      <c r="H28" s="35"/>
      <c r="I28" s="35"/>
      <c r="J28" s="36"/>
      <c r="K28" s="37"/>
      <c r="L28" s="37"/>
      <c r="M28" s="38"/>
      <c r="N28" s="13">
        <f t="shared" si="1"/>
        <v>0</v>
      </c>
    </row>
    <row r="29" spans="1:14" hidden="1" outlineLevel="1" x14ac:dyDescent="0.25">
      <c r="A29" s="1" t="str">
        <f>IF(L29="","",MAX($A$1:$A28)+1)</f>
        <v/>
      </c>
      <c r="B29" s="102"/>
      <c r="C29" s="67"/>
      <c r="D29" s="34"/>
      <c r="E29" s="35"/>
      <c r="F29" s="35"/>
      <c r="G29" s="35"/>
      <c r="H29" s="35"/>
      <c r="I29" s="35"/>
      <c r="J29" s="36"/>
      <c r="K29" s="37"/>
      <c r="L29" s="37"/>
      <c r="M29" s="38"/>
      <c r="N29" s="13">
        <f t="shared" si="1"/>
        <v>0</v>
      </c>
    </row>
    <row r="30" spans="1:14" collapsed="1" x14ac:dyDescent="0.25">
      <c r="A30" s="1">
        <f>IF(L30="","",MAX($A$1:$A29)+1)</f>
        <v>4</v>
      </c>
      <c r="B30" s="102" t="s">
        <v>165</v>
      </c>
      <c r="C30" s="50" t="s">
        <v>23</v>
      </c>
      <c r="D30" s="34"/>
      <c r="E30" s="35"/>
      <c r="F30" s="35"/>
      <c r="G30" s="35"/>
      <c r="H30" s="35"/>
      <c r="I30" s="35"/>
      <c r="J30" s="35"/>
      <c r="K30" s="12" t="s">
        <v>4</v>
      </c>
      <c r="L30" s="12">
        <v>1</v>
      </c>
      <c r="M30" s="13"/>
      <c r="N30" s="13">
        <f t="shared" si="1"/>
        <v>0</v>
      </c>
    </row>
    <row r="31" spans="1:14" x14ac:dyDescent="0.25">
      <c r="A31" s="1" t="str">
        <f>IF(L31="","",MAX($A$1:$A30)+1)</f>
        <v/>
      </c>
      <c r="B31" s="102"/>
      <c r="C31" s="68"/>
      <c r="D31" s="34"/>
      <c r="E31" s="35"/>
      <c r="F31" s="35"/>
      <c r="G31" s="35"/>
      <c r="H31" s="35"/>
      <c r="I31" s="35"/>
      <c r="J31" s="35"/>
      <c r="K31" s="12"/>
      <c r="L31" s="12"/>
      <c r="M31" s="13"/>
      <c r="N31" s="13"/>
    </row>
    <row r="32" spans="1:14" x14ac:dyDescent="0.25">
      <c r="A32" s="1" t="str">
        <f>IF(L32="","",MAX($A$1:$A31)+1)</f>
        <v/>
      </c>
      <c r="B32" s="102"/>
      <c r="C32" s="76" t="s">
        <v>24</v>
      </c>
      <c r="D32" s="34"/>
      <c r="E32" s="35"/>
      <c r="F32" s="35"/>
      <c r="G32" s="35"/>
      <c r="H32" s="35"/>
      <c r="I32" s="35"/>
      <c r="J32" s="36"/>
      <c r="K32" s="37"/>
      <c r="L32" s="37"/>
      <c r="M32" s="38"/>
      <c r="N32" s="13"/>
    </row>
    <row r="33" spans="1:14" hidden="1" outlineLevel="1" x14ac:dyDescent="0.25">
      <c r="A33" s="1" t="str">
        <f>IF(L33="","",MAX($A$1:$A32)+1)</f>
        <v/>
      </c>
      <c r="B33" s="102"/>
      <c r="C33" s="76"/>
      <c r="D33" s="34" t="s">
        <v>70</v>
      </c>
      <c r="E33" s="35"/>
      <c r="F33" s="35"/>
      <c r="G33" s="35"/>
      <c r="H33" s="35"/>
      <c r="I33" s="35"/>
      <c r="J33" s="36"/>
      <c r="K33" s="37"/>
      <c r="L33" s="37"/>
      <c r="M33" s="38"/>
      <c r="N33" s="13">
        <f t="shared" si="1"/>
        <v>0</v>
      </c>
    </row>
    <row r="34" spans="1:14" hidden="1" outlineLevel="2" x14ac:dyDescent="0.25">
      <c r="A34" s="1" t="str">
        <f>IF(L34="","",MAX($A$1:$A33)+1)</f>
        <v/>
      </c>
      <c r="B34" s="102"/>
      <c r="C34" s="34" t="s">
        <v>71</v>
      </c>
      <c r="D34" s="34"/>
      <c r="E34" s="35"/>
      <c r="F34" s="35"/>
      <c r="G34" s="35"/>
      <c r="H34" s="35"/>
      <c r="I34" s="35"/>
      <c r="J34" s="36"/>
      <c r="K34" s="37"/>
      <c r="L34" s="37"/>
      <c r="M34" s="38"/>
      <c r="N34" s="13">
        <f t="shared" si="1"/>
        <v>0</v>
      </c>
    </row>
    <row r="35" spans="1:14" hidden="1" outlineLevel="2" x14ac:dyDescent="0.25">
      <c r="A35" s="1" t="str">
        <f>IF(L35="","",MAX($A$1:$A34)+1)</f>
        <v/>
      </c>
      <c r="B35" s="102"/>
      <c r="C35" s="76"/>
      <c r="D35" s="34" t="s">
        <v>72</v>
      </c>
      <c r="E35" s="35"/>
      <c r="F35" s="35"/>
      <c r="G35" s="35"/>
      <c r="H35" s="35"/>
      <c r="I35" s="35"/>
      <c r="J35" s="36"/>
      <c r="K35" s="37"/>
      <c r="L35" s="37"/>
      <c r="M35" s="38"/>
      <c r="N35" s="13">
        <f t="shared" si="1"/>
        <v>0</v>
      </c>
    </row>
    <row r="36" spans="1:14" hidden="1" outlineLevel="2" x14ac:dyDescent="0.25">
      <c r="A36" s="1" t="str">
        <f>IF(L36="","",MAX($A$1:$A35)+1)</f>
        <v/>
      </c>
      <c r="B36" s="102"/>
      <c r="C36" s="76"/>
      <c r="D36" s="52" t="s">
        <v>73</v>
      </c>
      <c r="E36" s="35" t="s">
        <v>17</v>
      </c>
      <c r="F36" s="51">
        <f>4*6.75*0.2*0.1</f>
        <v>0.54</v>
      </c>
      <c r="G36" s="35"/>
      <c r="H36" s="35"/>
      <c r="I36" s="35"/>
      <c r="J36" s="36"/>
      <c r="K36" s="37"/>
      <c r="L36" s="37"/>
      <c r="M36" s="38"/>
      <c r="N36" s="13">
        <f t="shared" si="1"/>
        <v>0</v>
      </c>
    </row>
    <row r="37" spans="1:14" hidden="1" outlineLevel="2" x14ac:dyDescent="0.25">
      <c r="A37" s="1" t="str">
        <f>IF(L37="","",MAX($A$1:$A36)+1)</f>
        <v/>
      </c>
      <c r="B37" s="102"/>
      <c r="C37" s="76"/>
      <c r="D37" s="52" t="s">
        <v>74</v>
      </c>
      <c r="E37" s="35" t="s">
        <v>17</v>
      </c>
      <c r="F37" s="51">
        <f>4*6.05*0.25*0.1</f>
        <v>0.60499999999999998</v>
      </c>
      <c r="G37" s="35"/>
      <c r="H37" s="35"/>
      <c r="I37" s="35"/>
      <c r="J37" s="36"/>
      <c r="K37" s="37"/>
      <c r="L37" s="37"/>
      <c r="M37" s="38"/>
      <c r="N37" s="13">
        <f t="shared" si="1"/>
        <v>0</v>
      </c>
    </row>
    <row r="38" spans="1:14" hidden="1" outlineLevel="2" x14ac:dyDescent="0.25">
      <c r="A38" s="1" t="str">
        <f>IF(L38="","",MAX($A$1:$A37)+1)</f>
        <v/>
      </c>
      <c r="B38" s="102"/>
      <c r="C38" s="76"/>
      <c r="D38" s="52" t="s">
        <v>75</v>
      </c>
      <c r="E38" s="35" t="s">
        <v>17</v>
      </c>
      <c r="F38" s="51">
        <f>2*7.6*0.2*0.175</f>
        <v>0.53200000000000003</v>
      </c>
      <c r="G38" s="35"/>
      <c r="H38" s="35"/>
      <c r="I38" s="35"/>
      <c r="J38" s="36"/>
      <c r="K38" s="37"/>
      <c r="L38" s="37"/>
      <c r="M38" s="38"/>
      <c r="N38" s="13">
        <f t="shared" si="1"/>
        <v>0</v>
      </c>
    </row>
    <row r="39" spans="1:14" hidden="1" outlineLevel="2" x14ac:dyDescent="0.25">
      <c r="A39" s="1" t="str">
        <f>IF(L39="","",MAX($A$1:$A38)+1)</f>
        <v/>
      </c>
      <c r="B39" s="102"/>
      <c r="C39" s="76"/>
      <c r="D39" s="52" t="s">
        <v>76</v>
      </c>
      <c r="E39" s="35" t="s">
        <v>17</v>
      </c>
      <c r="F39" s="51">
        <f>2.25*0.2*0.35</f>
        <v>0.158</v>
      </c>
      <c r="G39" s="35"/>
      <c r="H39" s="35"/>
      <c r="I39" s="35"/>
      <c r="J39" s="36"/>
      <c r="K39" s="37"/>
      <c r="L39" s="37"/>
      <c r="M39" s="38"/>
      <c r="N39" s="13">
        <f t="shared" si="1"/>
        <v>0</v>
      </c>
    </row>
    <row r="40" spans="1:14" hidden="1" outlineLevel="2" x14ac:dyDescent="0.25">
      <c r="A40" s="1" t="str">
        <f>IF(L40="","",MAX($A$1:$A39)+1)</f>
        <v/>
      </c>
      <c r="B40" s="102"/>
      <c r="C40" s="76"/>
      <c r="D40" s="52" t="s">
        <v>77</v>
      </c>
      <c r="E40" s="35" t="s">
        <v>17</v>
      </c>
      <c r="F40" s="51">
        <f>2*5.3*0.2*0.175</f>
        <v>0.371</v>
      </c>
      <c r="G40" s="35"/>
      <c r="H40" s="35"/>
      <c r="I40" s="35"/>
      <c r="J40" s="36"/>
      <c r="K40" s="37"/>
      <c r="L40" s="37"/>
      <c r="M40" s="38"/>
      <c r="N40" s="13">
        <f t="shared" si="1"/>
        <v>0</v>
      </c>
    </row>
    <row r="41" spans="1:14" hidden="1" outlineLevel="2" x14ac:dyDescent="0.25">
      <c r="A41" s="1" t="str">
        <f>IF(L41="","",MAX($A$1:$A40)+1)</f>
        <v/>
      </c>
      <c r="B41" s="102"/>
      <c r="C41" s="76"/>
      <c r="D41" s="52" t="s">
        <v>78</v>
      </c>
      <c r="E41" s="35" t="s">
        <v>17</v>
      </c>
      <c r="F41" s="51">
        <f>2*5.15*0.2*0.2</f>
        <v>0.41199999999999998</v>
      </c>
      <c r="G41" s="35"/>
      <c r="H41" s="35"/>
      <c r="I41" s="35"/>
      <c r="J41" s="36"/>
      <c r="K41" s="37"/>
      <c r="L41" s="37"/>
      <c r="M41" s="38"/>
      <c r="N41" s="13">
        <f t="shared" si="1"/>
        <v>0</v>
      </c>
    </row>
    <row r="42" spans="1:14" hidden="1" outlineLevel="2" x14ac:dyDescent="0.25">
      <c r="A42" s="1" t="str">
        <f>IF(L42="","",MAX($A$1:$A41)+1)</f>
        <v/>
      </c>
      <c r="B42" s="102"/>
      <c r="C42" s="76"/>
      <c r="D42" s="52" t="s">
        <v>79</v>
      </c>
      <c r="E42" s="35" t="s">
        <v>17</v>
      </c>
      <c r="F42" s="51">
        <f>2*2.8*0.15*0.08</f>
        <v>6.7000000000000004E-2</v>
      </c>
      <c r="G42" s="35"/>
      <c r="H42" s="35"/>
      <c r="I42" s="35"/>
      <c r="J42" s="36"/>
      <c r="K42" s="37"/>
      <c r="L42" s="37"/>
      <c r="M42" s="38"/>
      <c r="N42" s="13">
        <f t="shared" si="1"/>
        <v>0</v>
      </c>
    </row>
    <row r="43" spans="1:14" hidden="1" outlineLevel="2" x14ac:dyDescent="0.25">
      <c r="A43" s="1" t="str">
        <f>IF(L43="","",MAX($A$1:$A42)+1)</f>
        <v/>
      </c>
      <c r="B43" s="102"/>
      <c r="C43" s="76"/>
      <c r="D43" s="52" t="s">
        <v>80</v>
      </c>
      <c r="E43" s="35" t="s">
        <v>17</v>
      </c>
      <c r="F43" s="51">
        <f>4*1.5*0.2*0.175</f>
        <v>0.21</v>
      </c>
      <c r="G43" s="35"/>
      <c r="H43" s="35"/>
      <c r="I43" s="35"/>
      <c r="J43" s="36"/>
      <c r="K43" s="37"/>
      <c r="L43" s="37"/>
      <c r="M43" s="38"/>
      <c r="N43" s="13">
        <f t="shared" si="1"/>
        <v>0</v>
      </c>
    </row>
    <row r="44" spans="1:14" hidden="1" outlineLevel="2" x14ac:dyDescent="0.25">
      <c r="A44" s="1" t="str">
        <f>IF(L44="","",MAX($A$1:$A43)+1)</f>
        <v/>
      </c>
      <c r="B44" s="102"/>
      <c r="C44" s="76"/>
      <c r="D44" s="52" t="s">
        <v>81</v>
      </c>
      <c r="E44" s="35" t="s">
        <v>17</v>
      </c>
      <c r="F44" s="51">
        <f>4*7.1*0.2*0.2</f>
        <v>1.1359999999999999</v>
      </c>
      <c r="G44" s="35"/>
      <c r="H44" s="35"/>
      <c r="I44" s="35"/>
      <c r="J44" s="36"/>
      <c r="K44" s="37"/>
      <c r="L44" s="37"/>
      <c r="M44" s="38"/>
      <c r="N44" s="13">
        <f t="shared" si="1"/>
        <v>0</v>
      </c>
    </row>
    <row r="45" spans="1:14" hidden="1" outlineLevel="2" x14ac:dyDescent="0.25">
      <c r="A45" s="1" t="str">
        <f>IF(L45="","",MAX($A$1:$A44)+1)</f>
        <v/>
      </c>
      <c r="B45" s="102"/>
      <c r="C45" s="76"/>
      <c r="D45" s="65" t="s">
        <v>82</v>
      </c>
      <c r="E45" s="35" t="s">
        <v>17</v>
      </c>
      <c r="F45" s="51">
        <f>4*1.9*0.2*0.2</f>
        <v>0.30399999999999999</v>
      </c>
      <c r="G45" s="35"/>
      <c r="H45" s="35"/>
      <c r="I45" s="35"/>
      <c r="J45" s="36"/>
      <c r="K45" s="37"/>
      <c r="L45" s="37"/>
      <c r="M45" s="38"/>
      <c r="N45" s="13">
        <f t="shared" si="1"/>
        <v>0</v>
      </c>
    </row>
    <row r="46" spans="1:14" hidden="1" outlineLevel="2" x14ac:dyDescent="0.25">
      <c r="A46" s="1" t="str">
        <f>IF(L46="","",MAX($A$1:$A45)+1)</f>
        <v/>
      </c>
      <c r="B46" s="102"/>
      <c r="C46" s="76"/>
      <c r="D46" s="65" t="s">
        <v>83</v>
      </c>
      <c r="E46" s="35" t="s">
        <v>17</v>
      </c>
      <c r="F46" s="51">
        <f>4*1*0.2*0.2</f>
        <v>0.16</v>
      </c>
      <c r="G46" s="35"/>
      <c r="H46" s="35"/>
      <c r="I46" s="35"/>
      <c r="J46" s="36"/>
      <c r="K46" s="37"/>
      <c r="L46" s="37"/>
      <c r="M46" s="38"/>
      <c r="N46" s="13">
        <f t="shared" si="1"/>
        <v>0</v>
      </c>
    </row>
    <row r="47" spans="1:14" hidden="1" outlineLevel="2" x14ac:dyDescent="0.25">
      <c r="A47" s="1" t="str">
        <f>IF(L47="","",MAX($A$1:$A46)+1)</f>
        <v/>
      </c>
      <c r="B47" s="102"/>
      <c r="C47" s="76"/>
      <c r="D47" s="52" t="s">
        <v>84</v>
      </c>
      <c r="E47" s="35"/>
      <c r="F47" s="51"/>
      <c r="G47" s="35"/>
      <c r="H47" s="35"/>
      <c r="I47" s="35"/>
      <c r="J47" s="36"/>
      <c r="K47" s="37"/>
      <c r="L47" s="37"/>
      <c r="M47" s="38"/>
      <c r="N47" s="13">
        <f t="shared" si="1"/>
        <v>0</v>
      </c>
    </row>
    <row r="48" spans="1:14" hidden="1" outlineLevel="2" x14ac:dyDescent="0.25">
      <c r="A48" s="1" t="str">
        <f>IF(L48="","",MAX($A$1:$A47)+1)</f>
        <v/>
      </c>
      <c r="B48" s="102"/>
      <c r="C48" s="76"/>
      <c r="D48" s="52" t="s">
        <v>73</v>
      </c>
      <c r="E48" s="35" t="s">
        <v>17</v>
      </c>
      <c r="F48" s="51">
        <f>4*6.4*0.2*0.1</f>
        <v>0.51200000000000001</v>
      </c>
      <c r="G48" s="35"/>
      <c r="H48" s="35"/>
      <c r="I48" s="35"/>
      <c r="J48" s="36"/>
      <c r="K48" s="37"/>
      <c r="L48" s="37"/>
      <c r="M48" s="38"/>
      <c r="N48" s="13">
        <f t="shared" si="1"/>
        <v>0</v>
      </c>
    </row>
    <row r="49" spans="1:14" hidden="1" outlineLevel="2" x14ac:dyDescent="0.25">
      <c r="A49" s="1" t="str">
        <f>IF(L49="","",MAX($A$1:$A48)+1)</f>
        <v/>
      </c>
      <c r="B49" s="102"/>
      <c r="C49" s="76"/>
      <c r="D49" s="52" t="s">
        <v>74</v>
      </c>
      <c r="E49" s="35" t="s">
        <v>17</v>
      </c>
      <c r="F49" s="51">
        <f>4*5.6*0.25*0.1</f>
        <v>0.56000000000000005</v>
      </c>
      <c r="G49" s="35"/>
      <c r="H49" s="35"/>
      <c r="I49" s="35"/>
      <c r="J49" s="36"/>
      <c r="K49" s="37"/>
      <c r="L49" s="37"/>
      <c r="M49" s="38"/>
      <c r="N49" s="13">
        <f t="shared" si="1"/>
        <v>0</v>
      </c>
    </row>
    <row r="50" spans="1:14" hidden="1" outlineLevel="2" x14ac:dyDescent="0.25">
      <c r="A50" s="1" t="str">
        <f>IF(L50="","",MAX($A$1:$A49)+1)</f>
        <v/>
      </c>
      <c r="B50" s="102"/>
      <c r="C50" s="76"/>
      <c r="D50" s="52" t="s">
        <v>75</v>
      </c>
      <c r="E50" s="35" t="s">
        <v>17</v>
      </c>
      <c r="F50" s="51">
        <f>2*6.4*0.2*0.175</f>
        <v>0.44800000000000001</v>
      </c>
      <c r="G50" s="35"/>
      <c r="H50" s="35"/>
      <c r="I50" s="35"/>
      <c r="J50" s="36"/>
      <c r="K50" s="37"/>
      <c r="L50" s="37"/>
      <c r="M50" s="38"/>
      <c r="N50" s="13">
        <f t="shared" si="1"/>
        <v>0</v>
      </c>
    </row>
    <row r="51" spans="1:14" hidden="1" outlineLevel="2" x14ac:dyDescent="0.25">
      <c r="A51" s="1" t="str">
        <f>IF(L51="","",MAX($A$1:$A50)+1)</f>
        <v/>
      </c>
      <c r="B51" s="102"/>
      <c r="C51" s="76"/>
      <c r="D51" s="52" t="s">
        <v>77</v>
      </c>
      <c r="E51" s="35" t="s">
        <v>17</v>
      </c>
      <c r="F51" s="51">
        <f>2*3.6*0.2*0.175</f>
        <v>0.252</v>
      </c>
      <c r="G51" s="35"/>
      <c r="H51" s="35"/>
      <c r="I51" s="35"/>
      <c r="J51" s="36"/>
      <c r="K51" s="37"/>
      <c r="L51" s="37"/>
      <c r="M51" s="38"/>
      <c r="N51" s="13">
        <f t="shared" si="1"/>
        <v>0</v>
      </c>
    </row>
    <row r="52" spans="1:14" hidden="1" outlineLevel="2" x14ac:dyDescent="0.25">
      <c r="A52" s="1" t="str">
        <f>IF(L52="","",MAX($A$1:$A51)+1)</f>
        <v/>
      </c>
      <c r="B52" s="102"/>
      <c r="C52" s="76"/>
      <c r="D52" s="52" t="s">
        <v>85</v>
      </c>
      <c r="E52" s="35" t="s">
        <v>17</v>
      </c>
      <c r="F52" s="51">
        <f>2*5.2*0.2*0.2</f>
        <v>0.41599999999999998</v>
      </c>
      <c r="G52" s="35"/>
      <c r="H52" s="35"/>
      <c r="I52" s="35"/>
      <c r="J52" s="36"/>
      <c r="K52" s="37"/>
      <c r="L52" s="37"/>
      <c r="M52" s="38"/>
      <c r="N52" s="13">
        <f t="shared" si="1"/>
        <v>0</v>
      </c>
    </row>
    <row r="53" spans="1:14" hidden="1" outlineLevel="2" x14ac:dyDescent="0.25">
      <c r="A53" s="1" t="str">
        <f>IF(L53="","",MAX($A$1:$A52)+1)</f>
        <v/>
      </c>
      <c r="B53" s="102"/>
      <c r="C53" s="76"/>
      <c r="D53" s="52" t="s">
        <v>86</v>
      </c>
      <c r="E53" s="35" t="s">
        <v>17</v>
      </c>
      <c r="F53" s="51">
        <f>1*4.2*0.2*0.1</f>
        <v>8.4000000000000005E-2</v>
      </c>
      <c r="G53" s="35"/>
      <c r="H53" s="35"/>
      <c r="I53" s="35"/>
      <c r="J53" s="36"/>
      <c r="K53" s="37"/>
      <c r="L53" s="37"/>
      <c r="M53" s="38"/>
      <c r="N53" s="13">
        <f t="shared" si="1"/>
        <v>0</v>
      </c>
    </row>
    <row r="54" spans="1:14" hidden="1" outlineLevel="2" x14ac:dyDescent="0.25">
      <c r="A54" s="1" t="str">
        <f>IF(L54="","",MAX($A$1:$A53)+1)</f>
        <v/>
      </c>
      <c r="B54" s="102"/>
      <c r="C54" s="76"/>
      <c r="D54" s="52" t="s">
        <v>80</v>
      </c>
      <c r="E54" s="35" t="s">
        <v>17</v>
      </c>
      <c r="F54" s="51">
        <f>2*1.5*0.2*0.175</f>
        <v>0.105</v>
      </c>
      <c r="G54" s="35"/>
      <c r="H54" s="35"/>
      <c r="I54" s="35"/>
      <c r="J54" s="36"/>
      <c r="K54" s="37"/>
      <c r="L54" s="37"/>
      <c r="M54" s="38"/>
      <c r="N54" s="13">
        <f t="shared" si="1"/>
        <v>0</v>
      </c>
    </row>
    <row r="55" spans="1:14" hidden="1" outlineLevel="2" x14ac:dyDescent="0.25">
      <c r="A55" s="1" t="str">
        <f>IF(L55="","",MAX($A$1:$A54)+1)</f>
        <v/>
      </c>
      <c r="B55" s="102"/>
      <c r="C55" s="76"/>
      <c r="D55" s="52" t="s">
        <v>87</v>
      </c>
      <c r="E55" s="35" t="s">
        <v>17</v>
      </c>
      <c r="F55" s="35">
        <f>2*2.8*0.2*0.175</f>
        <v>0.19600000000000001</v>
      </c>
      <c r="G55" s="35"/>
      <c r="H55" s="35"/>
      <c r="I55" s="35"/>
      <c r="J55" s="36"/>
      <c r="K55" s="37"/>
      <c r="L55" s="37"/>
      <c r="M55" s="38"/>
      <c r="N55" s="13">
        <f t="shared" si="1"/>
        <v>0</v>
      </c>
    </row>
    <row r="56" spans="1:14" hidden="1" outlineLevel="2" x14ac:dyDescent="0.25">
      <c r="A56" s="1" t="str">
        <f>IF(L56="","",MAX($A$1:$A55)+1)</f>
        <v/>
      </c>
      <c r="B56" s="102"/>
      <c r="C56" s="76"/>
      <c r="D56" s="52"/>
      <c r="E56" s="35"/>
      <c r="F56" s="35"/>
      <c r="G56" s="35" t="s">
        <v>17</v>
      </c>
      <c r="H56" s="51">
        <f>SUM(F36:F56)</f>
        <v>7.0679999999999996</v>
      </c>
      <c r="I56" s="35"/>
      <c r="J56" s="36"/>
      <c r="K56" s="37"/>
      <c r="L56" s="37"/>
      <c r="M56" s="38"/>
      <c r="N56" s="13">
        <f t="shared" si="1"/>
        <v>0</v>
      </c>
    </row>
    <row r="57" spans="1:14" hidden="1" outlineLevel="2" x14ac:dyDescent="0.25">
      <c r="A57" s="1" t="str">
        <f>IF(L57="","",MAX($A$1:$A56)+1)</f>
        <v/>
      </c>
      <c r="B57" s="102"/>
      <c r="C57" s="76"/>
      <c r="D57" s="34"/>
      <c r="E57" s="35"/>
      <c r="F57" s="35"/>
      <c r="G57" s="35"/>
      <c r="H57" s="35"/>
      <c r="I57" s="35"/>
      <c r="J57" s="36"/>
      <c r="K57" s="37"/>
      <c r="L57" s="37"/>
      <c r="M57" s="38"/>
      <c r="N57" s="13">
        <f t="shared" si="1"/>
        <v>0</v>
      </c>
    </row>
    <row r="58" spans="1:14" hidden="1" outlineLevel="2" x14ac:dyDescent="0.25">
      <c r="A58" s="1" t="str">
        <f>IF(L58="","",MAX($A$1:$A57)+1)</f>
        <v/>
      </c>
      <c r="B58" s="102"/>
      <c r="C58" s="34" t="s">
        <v>88</v>
      </c>
      <c r="D58" s="34"/>
      <c r="E58" s="35" t="s">
        <v>17</v>
      </c>
      <c r="F58" s="51">
        <f>(4.55*2+4.25+3.8+5+4.6+4+3.4+2.8+2.2+0.7+1.1+4)*0.1*0.1+(2.7+5.15+1.05+1.1)*0.25*0.25</f>
        <v>1.075</v>
      </c>
      <c r="G58" s="51" t="s">
        <v>17</v>
      </c>
      <c r="H58" s="51">
        <f>F58</f>
        <v>1.075</v>
      </c>
      <c r="I58" s="35"/>
      <c r="J58" s="36"/>
      <c r="K58" s="37"/>
      <c r="L58" s="37"/>
      <c r="M58" s="38"/>
      <c r="N58" s="13">
        <f t="shared" si="1"/>
        <v>0</v>
      </c>
    </row>
    <row r="59" spans="1:14" hidden="1" outlineLevel="2" x14ac:dyDescent="0.25">
      <c r="A59" s="1" t="str">
        <f>IF(L59="","",MAX($A$1:$A58)+1)</f>
        <v/>
      </c>
      <c r="B59" s="102"/>
      <c r="C59" s="34" t="s">
        <v>89</v>
      </c>
      <c r="D59" s="34"/>
      <c r="E59" s="35" t="s">
        <v>17</v>
      </c>
      <c r="F59" s="51">
        <f>(1.05+2*2.75+3.55*4+2.95+3.35+3.6+2.3+4*1.5+1.4)*0.1*0.1+(3.86+0.45+2.9+2*1.85+2.15)*0.2*0.2</f>
        <v>0.92600000000000005</v>
      </c>
      <c r="G59" s="35" t="s">
        <v>17</v>
      </c>
      <c r="H59" s="51">
        <f>F59</f>
        <v>0.92600000000000005</v>
      </c>
      <c r="I59" s="35"/>
      <c r="J59" s="36"/>
      <c r="K59" s="37"/>
      <c r="L59" s="37"/>
      <c r="M59" s="38"/>
      <c r="N59" s="13">
        <f t="shared" si="1"/>
        <v>0</v>
      </c>
    </row>
    <row r="60" spans="1:14" hidden="1" outlineLevel="2" x14ac:dyDescent="0.25">
      <c r="A60" s="1" t="str">
        <f>IF(L60="","",MAX($A$1:$A59)+1)</f>
        <v/>
      </c>
      <c r="B60" s="102"/>
      <c r="C60" s="34" t="s">
        <v>90</v>
      </c>
      <c r="D60" s="34"/>
      <c r="E60" s="35" t="s">
        <v>17</v>
      </c>
      <c r="F60" s="51">
        <f>10*3.55*0.1*0.1+2*3.3*0.15*0.15+2.05*0.25*0.25</f>
        <v>0.63200000000000001</v>
      </c>
      <c r="G60" s="35" t="s">
        <v>17</v>
      </c>
      <c r="H60" s="51">
        <f>F60</f>
        <v>0.63200000000000001</v>
      </c>
      <c r="I60" s="35"/>
      <c r="J60" s="36"/>
      <c r="K60" s="37"/>
      <c r="L60" s="37"/>
      <c r="M60" s="38"/>
      <c r="N60" s="13">
        <f t="shared" si="1"/>
        <v>0</v>
      </c>
    </row>
    <row r="61" spans="1:14" hidden="1" outlineLevel="2" x14ac:dyDescent="0.25">
      <c r="A61" s="1" t="str">
        <f>IF(L61="","",MAX($A$1:$A60)+1)</f>
        <v/>
      </c>
      <c r="B61" s="102"/>
      <c r="C61" s="34" t="s">
        <v>91</v>
      </c>
      <c r="D61" s="34"/>
      <c r="E61" s="35" t="s">
        <v>17</v>
      </c>
      <c r="F61" s="51">
        <f>(1.75+1)*0.25*0.25</f>
        <v>0.17199999999999999</v>
      </c>
      <c r="G61" s="35" t="s">
        <v>17</v>
      </c>
      <c r="H61" s="51">
        <f>F61</f>
        <v>0.17199999999999999</v>
      </c>
      <c r="I61" s="35"/>
      <c r="J61" s="36"/>
      <c r="K61" s="37"/>
      <c r="L61" s="37"/>
      <c r="M61" s="38"/>
      <c r="N61" s="13">
        <f t="shared" si="1"/>
        <v>0</v>
      </c>
    </row>
    <row r="62" spans="1:14" hidden="1" outlineLevel="2" x14ac:dyDescent="0.25">
      <c r="A62" s="1" t="str">
        <f>IF(L62="","",MAX($A$1:$A61)+1)</f>
        <v/>
      </c>
      <c r="B62" s="102"/>
      <c r="C62" s="34" t="s">
        <v>92</v>
      </c>
      <c r="D62" s="34"/>
      <c r="E62" s="35" t="s">
        <v>17</v>
      </c>
      <c r="F62" s="51">
        <f>(6*1.9+3*1.4+4*0.4+2*3.4)*0.1*0.1</f>
        <v>0.24</v>
      </c>
      <c r="G62" s="35" t="s">
        <v>17</v>
      </c>
      <c r="H62" s="51">
        <f>F62</f>
        <v>0.24</v>
      </c>
      <c r="I62" s="35"/>
      <c r="J62" s="36"/>
      <c r="K62" s="37"/>
      <c r="L62" s="37"/>
      <c r="M62" s="38"/>
      <c r="N62" s="13">
        <f t="shared" si="1"/>
        <v>0</v>
      </c>
    </row>
    <row r="63" spans="1:14" hidden="1" outlineLevel="2" x14ac:dyDescent="0.25">
      <c r="A63" s="1" t="str">
        <f>IF(L63="","",MAX($A$1:$A62)+1)</f>
        <v/>
      </c>
      <c r="B63" s="102"/>
      <c r="C63" s="76"/>
      <c r="D63" s="34"/>
      <c r="E63" s="35"/>
      <c r="F63" s="35"/>
      <c r="G63" s="35"/>
      <c r="H63" s="35">
        <v>8.6999999999999994E-2</v>
      </c>
      <c r="I63" s="35" t="s">
        <v>17</v>
      </c>
      <c r="J63" s="56">
        <f>SUM(H56:H63)</f>
        <v>10.199999999999999</v>
      </c>
      <c r="K63" s="37"/>
      <c r="L63" s="37"/>
      <c r="M63" s="38"/>
      <c r="N63" s="13">
        <f t="shared" si="1"/>
        <v>0</v>
      </c>
    </row>
    <row r="64" spans="1:14" hidden="1" outlineLevel="2" x14ac:dyDescent="0.25">
      <c r="A64" s="1" t="str">
        <f>IF(L64="","",MAX($A$1:$A63)+1)</f>
        <v/>
      </c>
      <c r="B64" s="102"/>
      <c r="C64" s="76"/>
      <c r="D64" s="34"/>
      <c r="E64" s="35"/>
      <c r="F64" s="35"/>
      <c r="G64" s="35"/>
      <c r="H64" s="35"/>
      <c r="I64" s="35"/>
      <c r="J64" s="36"/>
      <c r="K64" s="37"/>
      <c r="L64" s="37"/>
      <c r="M64" s="38"/>
      <c r="N64" s="13">
        <f t="shared" si="1"/>
        <v>0</v>
      </c>
    </row>
    <row r="65" spans="1:14" collapsed="1" x14ac:dyDescent="0.25">
      <c r="A65" s="1">
        <f>IF(L65="","",MAX($A$1:$A64)+1)</f>
        <v>5</v>
      </c>
      <c r="B65" s="102" t="s">
        <v>167</v>
      </c>
      <c r="C65" s="46" t="s">
        <v>39</v>
      </c>
      <c r="D65" s="34"/>
      <c r="E65" s="35"/>
      <c r="F65" s="35"/>
      <c r="G65" s="35"/>
      <c r="H65" s="35"/>
      <c r="I65" s="35"/>
      <c r="J65" s="36"/>
      <c r="K65" s="37" t="s">
        <v>4</v>
      </c>
      <c r="L65" s="37">
        <v>1</v>
      </c>
      <c r="M65" s="38"/>
      <c r="N65" s="13">
        <f t="shared" si="1"/>
        <v>0</v>
      </c>
    </row>
    <row r="66" spans="1:14" x14ac:dyDescent="0.25">
      <c r="A66" s="1">
        <f>IF(L66="","",MAX($A$1:$A65)+1)</f>
        <v>6</v>
      </c>
      <c r="B66" s="102" t="s">
        <v>167</v>
      </c>
      <c r="C66" s="46" t="s">
        <v>41</v>
      </c>
      <c r="D66" s="34"/>
      <c r="E66" s="35"/>
      <c r="F66" s="35"/>
      <c r="G66" s="35"/>
      <c r="H66" s="35"/>
      <c r="I66" s="35"/>
      <c r="J66" s="36"/>
      <c r="K66" s="37" t="s">
        <v>40</v>
      </c>
      <c r="L66" s="53">
        <v>10.199999999999999</v>
      </c>
      <c r="M66" s="38"/>
      <c r="N66" s="13">
        <f t="shared" si="1"/>
        <v>0</v>
      </c>
    </row>
    <row r="67" spans="1:14" x14ac:dyDescent="0.25">
      <c r="A67" s="1">
        <f>IF(L67="","",MAX($A$1:$A66)+1)</f>
        <v>7</v>
      </c>
      <c r="B67" s="102" t="s">
        <v>167</v>
      </c>
      <c r="C67" s="46" t="s">
        <v>53</v>
      </c>
      <c r="D67" s="34"/>
      <c r="E67" s="35"/>
      <c r="F67" s="35"/>
      <c r="G67" s="35"/>
      <c r="H67" s="35"/>
      <c r="I67" s="35"/>
      <c r="J67" s="36"/>
      <c r="K67" s="37" t="s">
        <v>5</v>
      </c>
      <c r="L67" s="40">
        <v>20</v>
      </c>
      <c r="M67" s="38"/>
      <c r="N67" s="13">
        <f t="shared" si="1"/>
        <v>0</v>
      </c>
    </row>
    <row r="68" spans="1:14" hidden="1" outlineLevel="1" x14ac:dyDescent="0.25">
      <c r="A68" s="1" t="str">
        <f>IF(L68="","",MAX($A$1:$A67)+1)</f>
        <v/>
      </c>
      <c r="B68" s="102"/>
      <c r="C68" s="46"/>
      <c r="D68" s="34" t="s">
        <v>93</v>
      </c>
      <c r="E68" s="35" t="s">
        <v>17</v>
      </c>
      <c r="F68" s="35">
        <v>3</v>
      </c>
      <c r="G68" s="35"/>
      <c r="H68" s="35"/>
      <c r="I68" s="35"/>
      <c r="J68" s="36"/>
      <c r="K68" s="37"/>
      <c r="L68" s="40"/>
      <c r="M68" s="38"/>
      <c r="N68" s="13">
        <f t="shared" si="1"/>
        <v>0</v>
      </c>
    </row>
    <row r="69" spans="1:14" hidden="1" outlineLevel="1" x14ac:dyDescent="0.25">
      <c r="A69" s="1" t="str">
        <f>IF(L69="","",MAX($A$1:$A68)+1)</f>
        <v/>
      </c>
      <c r="B69" s="102"/>
      <c r="C69" s="46"/>
      <c r="D69" s="34" t="s">
        <v>94</v>
      </c>
      <c r="E69" s="35" t="s">
        <v>17</v>
      </c>
      <c r="F69" s="35">
        <f>2*1.15+1.1+0.5+0.25</f>
        <v>4.1500000000000004</v>
      </c>
      <c r="G69" s="35"/>
      <c r="H69" s="35"/>
      <c r="I69" s="35"/>
      <c r="J69" s="36"/>
      <c r="K69" s="37"/>
      <c r="L69" s="40"/>
      <c r="M69" s="38"/>
      <c r="N69" s="13">
        <f t="shared" si="1"/>
        <v>0</v>
      </c>
    </row>
    <row r="70" spans="1:14" hidden="1" outlineLevel="1" x14ac:dyDescent="0.25">
      <c r="A70" s="1" t="str">
        <f>IF(L70="","",MAX($A$1:$A69)+1)</f>
        <v/>
      </c>
      <c r="B70" s="102"/>
      <c r="C70" s="46"/>
      <c r="D70" s="34" t="s">
        <v>89</v>
      </c>
      <c r="E70" s="35" t="s">
        <v>17</v>
      </c>
      <c r="F70" s="35">
        <f>2*1.15+0.2+1.3</f>
        <v>3.8</v>
      </c>
      <c r="G70" s="35"/>
      <c r="H70" s="35"/>
      <c r="I70" s="35"/>
      <c r="J70" s="36"/>
      <c r="K70" s="37"/>
      <c r="L70" s="40"/>
      <c r="M70" s="38"/>
      <c r="N70" s="13">
        <f t="shared" si="1"/>
        <v>0</v>
      </c>
    </row>
    <row r="71" spans="1:14" hidden="1" outlineLevel="1" x14ac:dyDescent="0.25">
      <c r="A71" s="1" t="str">
        <f>IF(L71="","",MAX($A$1:$A70)+1)</f>
        <v/>
      </c>
      <c r="B71" s="102"/>
      <c r="C71" s="46"/>
      <c r="D71" s="34" t="s">
        <v>95</v>
      </c>
      <c r="E71" s="35" t="s">
        <v>17</v>
      </c>
      <c r="F71" s="35">
        <f>2*1.15+3.35</f>
        <v>5.65</v>
      </c>
      <c r="G71" s="35"/>
      <c r="H71" s="35"/>
      <c r="I71" s="35"/>
      <c r="J71" s="36"/>
      <c r="K71" s="37"/>
      <c r="L71" s="40"/>
      <c r="M71" s="38"/>
      <c r="N71" s="13">
        <f t="shared" si="1"/>
        <v>0</v>
      </c>
    </row>
    <row r="72" spans="1:14" hidden="1" outlineLevel="1" x14ac:dyDescent="0.25">
      <c r="A72" s="1" t="str">
        <f>IF(L72="","",MAX($A$1:$A71)+1)</f>
        <v/>
      </c>
      <c r="B72" s="102"/>
      <c r="C72" s="46"/>
      <c r="D72" s="34" t="s">
        <v>92</v>
      </c>
      <c r="E72" s="35" t="s">
        <v>17</v>
      </c>
      <c r="F72" s="35">
        <f>2*1.1+0.3</f>
        <v>2.5</v>
      </c>
      <c r="G72" s="35"/>
      <c r="H72" s="35"/>
      <c r="I72" s="35"/>
      <c r="J72" s="36"/>
      <c r="K72" s="37"/>
      <c r="L72" s="40"/>
      <c r="M72" s="38"/>
      <c r="N72" s="13">
        <f t="shared" si="1"/>
        <v>0</v>
      </c>
    </row>
    <row r="73" spans="1:14" hidden="1" outlineLevel="1" x14ac:dyDescent="0.25">
      <c r="A73" s="1" t="str">
        <f>IF(L73="","",MAX($A$1:$A72)+1)</f>
        <v/>
      </c>
      <c r="B73" s="102"/>
      <c r="C73" s="46"/>
      <c r="D73" s="34"/>
      <c r="E73" s="35"/>
      <c r="F73" s="35">
        <v>0.9</v>
      </c>
      <c r="G73" s="35" t="s">
        <v>17</v>
      </c>
      <c r="H73" s="35">
        <f>SUM(F68:F73)</f>
        <v>20</v>
      </c>
      <c r="I73" s="35"/>
      <c r="J73" s="36"/>
      <c r="K73" s="37"/>
      <c r="L73" s="40"/>
      <c r="M73" s="38"/>
      <c r="N73" s="13">
        <f t="shared" si="1"/>
        <v>0</v>
      </c>
    </row>
    <row r="74" spans="1:14" hidden="1" outlineLevel="1" x14ac:dyDescent="0.25">
      <c r="A74" s="1" t="str">
        <f>IF(L74="","",MAX($A$1:$A73)+1)</f>
        <v/>
      </c>
      <c r="B74" s="102"/>
      <c r="C74" s="46"/>
      <c r="D74" s="34"/>
      <c r="E74" s="35"/>
      <c r="F74" s="35"/>
      <c r="G74" s="35"/>
      <c r="H74" s="35"/>
      <c r="I74" s="35"/>
      <c r="J74" s="36"/>
      <c r="K74" s="37"/>
      <c r="L74" s="40"/>
      <c r="M74" s="38"/>
      <c r="N74" s="13">
        <f t="shared" si="1"/>
        <v>0</v>
      </c>
    </row>
    <row r="75" spans="1:14" hidden="1" outlineLevel="1" x14ac:dyDescent="0.25">
      <c r="A75" s="1" t="str">
        <f>IF(L75="","",MAX($A$1:$A74)+1)</f>
        <v/>
      </c>
      <c r="B75" s="102"/>
      <c r="C75" s="46"/>
      <c r="D75" s="34"/>
      <c r="E75" s="35"/>
      <c r="F75" s="35"/>
      <c r="G75" s="35"/>
      <c r="H75" s="35"/>
      <c r="I75" s="35"/>
      <c r="J75" s="36"/>
      <c r="K75" s="37"/>
      <c r="L75" s="40"/>
      <c r="M75" s="38"/>
      <c r="N75" s="13">
        <f t="shared" ref="N75:N98" si="2">M75*L75</f>
        <v>0</v>
      </c>
    </row>
    <row r="76" spans="1:14" collapsed="1" x14ac:dyDescent="0.25">
      <c r="A76" s="1">
        <f>IF(L76="","",MAX($A$1:$A75)+1)</f>
        <v>8</v>
      </c>
      <c r="B76" s="102" t="s">
        <v>167</v>
      </c>
      <c r="C76" s="46" t="s">
        <v>42</v>
      </c>
      <c r="D76" s="34"/>
      <c r="E76" s="35"/>
      <c r="F76" s="35"/>
      <c r="G76" s="35"/>
      <c r="H76" s="35"/>
      <c r="I76" s="35"/>
      <c r="J76" s="36"/>
      <c r="K76" s="37" t="s">
        <v>6</v>
      </c>
      <c r="L76" s="37">
        <v>1</v>
      </c>
      <c r="M76" s="38"/>
      <c r="N76" s="13">
        <f t="shared" si="2"/>
        <v>0</v>
      </c>
    </row>
    <row r="77" spans="1:14" ht="22.5" hidden="1" outlineLevel="1" x14ac:dyDescent="0.25">
      <c r="A77" s="1" t="str">
        <f>IF(L77="","",MAX($A$1:$A76)+1)</f>
        <v/>
      </c>
      <c r="B77" s="102"/>
      <c r="C77" s="77" t="s">
        <v>8</v>
      </c>
      <c r="D77" s="44" t="s">
        <v>96</v>
      </c>
      <c r="E77" s="35" t="s">
        <v>17</v>
      </c>
      <c r="F77" s="35">
        <v>4</v>
      </c>
      <c r="G77" s="35"/>
      <c r="H77" s="35"/>
      <c r="I77" s="35"/>
      <c r="J77" s="36"/>
      <c r="K77" s="37"/>
      <c r="L77" s="37"/>
      <c r="M77" s="38"/>
      <c r="N77" s="13">
        <f t="shared" si="2"/>
        <v>0</v>
      </c>
    </row>
    <row r="78" spans="1:14" ht="22.5" hidden="1" outlineLevel="1" x14ac:dyDescent="0.25">
      <c r="A78" s="1" t="str">
        <f>IF(L78="","",MAX($A$1:$A77)+1)</f>
        <v/>
      </c>
      <c r="B78" s="102"/>
      <c r="C78" s="77" t="s">
        <v>8</v>
      </c>
      <c r="D78" s="44" t="s">
        <v>97</v>
      </c>
      <c r="E78" s="35" t="s">
        <v>17</v>
      </c>
      <c r="F78" s="35">
        <v>2</v>
      </c>
      <c r="G78" s="35"/>
      <c r="H78" s="35"/>
      <c r="I78" s="35"/>
      <c r="J78" s="36"/>
      <c r="K78" s="37"/>
      <c r="L78" s="37"/>
      <c r="M78" s="38"/>
      <c r="N78" s="13">
        <f t="shared" si="2"/>
        <v>0</v>
      </c>
    </row>
    <row r="79" spans="1:14" hidden="1" outlineLevel="1" x14ac:dyDescent="0.25">
      <c r="A79" s="1" t="str">
        <f>IF(L79="","",MAX($A$1:$A78)+1)</f>
        <v/>
      </c>
      <c r="B79" s="102"/>
      <c r="C79" s="77"/>
      <c r="D79" s="44"/>
      <c r="E79" s="35"/>
      <c r="F79" s="35"/>
      <c r="G79" s="35" t="s">
        <v>17</v>
      </c>
      <c r="H79" s="35">
        <f>SUM(F77:F78)</f>
        <v>6</v>
      </c>
      <c r="I79" s="35"/>
      <c r="J79" s="36"/>
      <c r="K79" s="37"/>
      <c r="L79" s="37"/>
      <c r="M79" s="38"/>
      <c r="N79" s="13">
        <f t="shared" si="2"/>
        <v>0</v>
      </c>
    </row>
    <row r="80" spans="1:14" ht="22.5" hidden="1" outlineLevel="1" x14ac:dyDescent="0.25">
      <c r="A80" s="1" t="str">
        <f>IF(L80="","",MAX($A$1:$A79)+1)</f>
        <v/>
      </c>
      <c r="B80" s="102"/>
      <c r="C80" s="77" t="s">
        <v>8</v>
      </c>
      <c r="D80" s="44" t="s">
        <v>98</v>
      </c>
      <c r="E80" s="35" t="s">
        <v>17</v>
      </c>
      <c r="F80" s="35">
        <v>2</v>
      </c>
      <c r="G80" s="35"/>
      <c r="H80" s="35"/>
      <c r="I80" s="35"/>
      <c r="J80" s="36"/>
      <c r="K80" s="37"/>
      <c r="L80" s="37"/>
      <c r="M80" s="38"/>
      <c r="N80" s="13">
        <f t="shared" si="2"/>
        <v>0</v>
      </c>
    </row>
    <row r="81" spans="1:14" ht="22.5" hidden="1" outlineLevel="1" x14ac:dyDescent="0.25">
      <c r="A81" s="1" t="str">
        <f>IF(L81="","",MAX($A$1:$A80)+1)</f>
        <v/>
      </c>
      <c r="B81" s="102"/>
      <c r="C81" s="77" t="s">
        <v>8</v>
      </c>
      <c r="D81" s="44" t="s">
        <v>99</v>
      </c>
      <c r="E81" s="35" t="s">
        <v>17</v>
      </c>
      <c r="F81" s="35">
        <v>2</v>
      </c>
      <c r="G81" s="35"/>
      <c r="H81" s="35"/>
      <c r="I81" s="35"/>
      <c r="J81" s="36"/>
      <c r="K81" s="37"/>
      <c r="L81" s="37"/>
      <c r="M81" s="38"/>
      <c r="N81" s="13">
        <f t="shared" si="2"/>
        <v>0</v>
      </c>
    </row>
    <row r="82" spans="1:14" hidden="1" outlineLevel="1" x14ac:dyDescent="0.25">
      <c r="A82" s="1" t="str">
        <f>IF(L82="","",MAX($A$1:$A81)+1)</f>
        <v/>
      </c>
      <c r="B82" s="102"/>
      <c r="C82" s="77"/>
      <c r="D82" s="34"/>
      <c r="E82" s="35"/>
      <c r="F82" s="35"/>
      <c r="G82" s="35" t="s">
        <v>17</v>
      </c>
      <c r="H82" s="35">
        <f>SUM(F80:F81)</f>
        <v>4</v>
      </c>
      <c r="I82" s="35"/>
      <c r="J82" s="36"/>
      <c r="K82" s="37"/>
      <c r="L82" s="37"/>
      <c r="M82" s="38"/>
      <c r="N82" s="13">
        <f t="shared" si="2"/>
        <v>0</v>
      </c>
    </row>
    <row r="83" spans="1:14" hidden="1" outlineLevel="1" x14ac:dyDescent="0.25">
      <c r="A83" s="1" t="str">
        <f>IF(L83="","",MAX($A$1:$A82)+1)</f>
        <v/>
      </c>
      <c r="B83" s="102"/>
      <c r="C83" s="77"/>
      <c r="D83" s="34"/>
      <c r="E83" s="35"/>
      <c r="F83" s="35"/>
      <c r="G83" s="35"/>
      <c r="H83" s="35"/>
      <c r="I83" s="35"/>
      <c r="J83" s="36"/>
      <c r="K83" s="37"/>
      <c r="L83" s="37"/>
      <c r="M83" s="38"/>
      <c r="N83" s="13">
        <f t="shared" si="2"/>
        <v>0</v>
      </c>
    </row>
    <row r="84" spans="1:14" collapsed="1" x14ac:dyDescent="0.25">
      <c r="A84" s="1">
        <f>IF(L84="","",MAX($A$1:$A83)+1)</f>
        <v>9</v>
      </c>
      <c r="B84" s="102" t="s">
        <v>167</v>
      </c>
      <c r="C84" s="46" t="s">
        <v>160</v>
      </c>
      <c r="D84" s="34"/>
      <c r="E84" s="35"/>
      <c r="F84" s="35"/>
      <c r="G84" s="35"/>
      <c r="H84" s="35"/>
      <c r="I84" s="35"/>
      <c r="J84" s="36"/>
      <c r="K84" s="37" t="s">
        <v>6</v>
      </c>
      <c r="L84" s="37">
        <v>1.02</v>
      </c>
      <c r="M84" s="38"/>
      <c r="N84" s="13">
        <f t="shared" si="2"/>
        <v>0</v>
      </c>
    </row>
    <row r="85" spans="1:14" x14ac:dyDescent="0.25">
      <c r="A85" s="1" t="str">
        <f>IF(L85="","",MAX($A$1:$A84)+1)</f>
        <v/>
      </c>
      <c r="B85" s="102"/>
      <c r="C85" s="93" t="s">
        <v>155</v>
      </c>
      <c r="D85" s="34"/>
      <c r="E85" s="35"/>
      <c r="F85" s="35"/>
      <c r="G85" s="35"/>
      <c r="H85" s="35"/>
      <c r="I85" s="35"/>
      <c r="J85" s="36"/>
      <c r="K85" s="37"/>
      <c r="L85" s="37"/>
      <c r="M85" s="38"/>
      <c r="N85" s="13"/>
    </row>
    <row r="86" spans="1:14" x14ac:dyDescent="0.25">
      <c r="A86" s="1">
        <f>IF(L86="","",MAX($A$1:$A85)+1)</f>
        <v>10</v>
      </c>
      <c r="B86" s="102" t="s">
        <v>167</v>
      </c>
      <c r="C86" s="58" t="s">
        <v>45</v>
      </c>
      <c r="D86" s="34"/>
      <c r="E86" s="35"/>
      <c r="F86" s="35"/>
      <c r="G86" s="35"/>
      <c r="H86" s="35"/>
      <c r="I86" s="35"/>
      <c r="J86" s="36"/>
      <c r="K86" s="37" t="s">
        <v>6</v>
      </c>
      <c r="L86" s="53">
        <v>0.51</v>
      </c>
      <c r="M86" s="38"/>
      <c r="N86" s="13">
        <f t="shared" si="2"/>
        <v>0</v>
      </c>
    </row>
    <row r="87" spans="1:14" x14ac:dyDescent="0.25">
      <c r="A87" s="1">
        <f>IF(L87="","",MAX($A$1:$A86)+1)</f>
        <v>11</v>
      </c>
      <c r="B87" s="102" t="s">
        <v>167</v>
      </c>
      <c r="C87" s="58" t="s">
        <v>100</v>
      </c>
      <c r="D87" s="47"/>
      <c r="E87" s="35"/>
      <c r="F87" s="35"/>
      <c r="G87" s="35"/>
      <c r="H87" s="35"/>
      <c r="I87" s="35"/>
      <c r="J87" s="36"/>
      <c r="K87" s="37" t="s">
        <v>6</v>
      </c>
      <c r="L87" s="53">
        <v>0.51</v>
      </c>
      <c r="M87" s="38"/>
      <c r="N87" s="13">
        <f t="shared" si="2"/>
        <v>0</v>
      </c>
    </row>
    <row r="88" spans="1:14" x14ac:dyDescent="0.25">
      <c r="A88" s="1">
        <f>IF(L88="","",MAX($A$1:$A87)+1)</f>
        <v>12</v>
      </c>
      <c r="B88" s="102" t="s">
        <v>167</v>
      </c>
      <c r="C88" s="49" t="s">
        <v>47</v>
      </c>
      <c r="D88" s="47"/>
      <c r="E88" s="35"/>
      <c r="F88" s="35"/>
      <c r="G88" s="35"/>
      <c r="H88" s="35"/>
      <c r="I88" s="35"/>
      <c r="J88" s="36"/>
      <c r="K88" s="37" t="s">
        <v>4</v>
      </c>
      <c r="L88" s="37">
        <v>1</v>
      </c>
      <c r="M88" s="38"/>
      <c r="N88" s="13">
        <f t="shared" si="2"/>
        <v>0</v>
      </c>
    </row>
    <row r="89" spans="1:14" hidden="1" outlineLevel="1" x14ac:dyDescent="0.25">
      <c r="A89" s="1" t="str">
        <f>IF(L89="","",MAX($A$1:$A88)+1)</f>
        <v/>
      </c>
      <c r="B89" s="102"/>
      <c r="C89" s="67"/>
      <c r="D89" s="54" t="s">
        <v>101</v>
      </c>
      <c r="E89" s="35"/>
      <c r="F89" s="35"/>
      <c r="G89" s="35"/>
      <c r="H89" s="35"/>
      <c r="I89" s="35"/>
      <c r="J89" s="36"/>
      <c r="K89" s="37"/>
      <c r="L89" s="37"/>
      <c r="M89" s="38"/>
      <c r="N89" s="13">
        <f t="shared" si="2"/>
        <v>0</v>
      </c>
    </row>
    <row r="90" spans="1:14" hidden="1" outlineLevel="1" x14ac:dyDescent="0.25">
      <c r="A90" s="1" t="str">
        <f>IF(L90="","",MAX($A$1:$A89)+1)</f>
        <v/>
      </c>
      <c r="B90" s="102"/>
      <c r="C90" s="67"/>
      <c r="D90" s="47" t="s">
        <v>102</v>
      </c>
      <c r="E90" s="35" t="s">
        <v>8</v>
      </c>
      <c r="F90" s="35">
        <v>4</v>
      </c>
      <c r="G90" s="35"/>
      <c r="H90" s="35"/>
      <c r="I90" s="35"/>
      <c r="J90" s="36"/>
      <c r="K90" s="37"/>
      <c r="L90" s="37"/>
      <c r="M90" s="38"/>
      <c r="N90" s="13">
        <f t="shared" si="2"/>
        <v>0</v>
      </c>
    </row>
    <row r="91" spans="1:14" hidden="1" outlineLevel="1" x14ac:dyDescent="0.25">
      <c r="A91" s="1" t="str">
        <f>IF(L91="","",MAX($A$1:$A90)+1)</f>
        <v/>
      </c>
      <c r="B91" s="102"/>
      <c r="C91" s="67"/>
      <c r="D91" s="47" t="s">
        <v>103</v>
      </c>
      <c r="E91" s="35" t="s">
        <v>8</v>
      </c>
      <c r="F91" s="35">
        <v>4</v>
      </c>
      <c r="G91" s="35"/>
      <c r="H91" s="35"/>
      <c r="I91" s="35"/>
      <c r="J91" s="36"/>
      <c r="K91" s="37"/>
      <c r="L91" s="37"/>
      <c r="M91" s="38"/>
      <c r="N91" s="13">
        <f t="shared" si="2"/>
        <v>0</v>
      </c>
    </row>
    <row r="92" spans="1:14" collapsed="1" x14ac:dyDescent="0.25">
      <c r="A92" s="1" t="str">
        <f>IF(L92="","",MAX($A$1:$A91)+1)</f>
        <v/>
      </c>
      <c r="B92" s="102"/>
      <c r="C92" s="87"/>
      <c r="D92" s="34"/>
      <c r="E92" s="35"/>
      <c r="F92" s="35"/>
      <c r="G92" s="35"/>
      <c r="H92" s="35"/>
      <c r="I92" s="35"/>
      <c r="J92" s="35"/>
      <c r="K92" s="12"/>
      <c r="L92" s="12"/>
      <c r="M92" s="13"/>
      <c r="N92" s="13"/>
    </row>
    <row r="93" spans="1:14" ht="22.5" hidden="1" outlineLevel="1" x14ac:dyDescent="0.25">
      <c r="A93" s="1" t="str">
        <f>IF(L93="","",MAX($A$1:$A92)+1)</f>
        <v/>
      </c>
      <c r="B93" s="102"/>
      <c r="C93" s="67"/>
      <c r="D93" s="54" t="s">
        <v>104</v>
      </c>
      <c r="E93" s="35" t="s">
        <v>8</v>
      </c>
      <c r="F93" s="35">
        <v>7</v>
      </c>
      <c r="G93" s="35"/>
      <c r="H93" s="35"/>
      <c r="I93" s="35"/>
      <c r="J93" s="36"/>
      <c r="K93" s="37"/>
      <c r="L93" s="37"/>
      <c r="M93" s="38"/>
      <c r="N93" s="13">
        <f t="shared" si="2"/>
        <v>0</v>
      </c>
    </row>
    <row r="94" spans="1:14" hidden="1" outlineLevel="1" x14ac:dyDescent="0.25">
      <c r="A94" s="1" t="str">
        <f>IF(L94="","",MAX($A$1:$A93)+1)</f>
        <v/>
      </c>
      <c r="B94" s="102"/>
      <c r="C94" s="67"/>
      <c r="D94" s="54"/>
      <c r="E94" s="35"/>
      <c r="F94" s="35"/>
      <c r="G94" s="35" t="s">
        <v>17</v>
      </c>
      <c r="H94" s="35">
        <f>SUM(F90:F93)</f>
        <v>15</v>
      </c>
      <c r="I94" s="35"/>
      <c r="J94" s="36"/>
      <c r="K94" s="37"/>
      <c r="L94" s="37"/>
      <c r="M94" s="38"/>
      <c r="N94" s="13">
        <f t="shared" si="2"/>
        <v>0</v>
      </c>
    </row>
    <row r="95" spans="1:14" hidden="1" outlineLevel="1" x14ac:dyDescent="0.25">
      <c r="A95" s="1" t="str">
        <f>IF(L95="","",MAX($A$1:$A94)+1)</f>
        <v/>
      </c>
      <c r="B95" s="102"/>
      <c r="C95" s="67"/>
      <c r="D95" s="54"/>
      <c r="E95" s="35"/>
      <c r="F95" s="35"/>
      <c r="G95" s="35"/>
      <c r="H95" s="35"/>
      <c r="I95" s="35"/>
      <c r="J95" s="36"/>
      <c r="K95" s="37"/>
      <c r="L95" s="37"/>
      <c r="M95" s="38"/>
      <c r="N95" s="13">
        <f t="shared" si="2"/>
        <v>0</v>
      </c>
    </row>
    <row r="96" spans="1:14" hidden="1" outlineLevel="1" x14ac:dyDescent="0.25">
      <c r="A96" s="1" t="str">
        <f>IF(L96="","",MAX($A$1:$A95)+1)</f>
        <v/>
      </c>
      <c r="B96" s="102"/>
      <c r="C96" s="67"/>
      <c r="D96" s="54"/>
      <c r="E96" s="35"/>
      <c r="F96" s="35"/>
      <c r="G96" s="35"/>
      <c r="H96" s="35"/>
      <c r="I96" s="35"/>
      <c r="J96" s="36"/>
      <c r="K96" s="37"/>
      <c r="L96" s="37"/>
      <c r="M96" s="38"/>
      <c r="N96" s="13">
        <f t="shared" si="2"/>
        <v>0</v>
      </c>
    </row>
    <row r="97" spans="1:14" collapsed="1" x14ac:dyDescent="0.25">
      <c r="A97" s="1" t="str">
        <f>IF(L97="","",MAX($A$1:$A96)+1)</f>
        <v/>
      </c>
      <c r="B97" s="102"/>
      <c r="C97" s="78"/>
      <c r="D97" s="34"/>
      <c r="E97" s="35"/>
      <c r="F97" s="35"/>
      <c r="G97" s="35"/>
      <c r="H97" s="35"/>
      <c r="I97" s="35"/>
      <c r="J97" s="35"/>
      <c r="K97" s="12"/>
      <c r="L97" s="12"/>
      <c r="M97" s="13"/>
      <c r="N97" s="13"/>
    </row>
    <row r="98" spans="1:14" x14ac:dyDescent="0.25">
      <c r="A98" s="1">
        <f>IF(L98="","",MAX($A$1:$A97)+1)</f>
        <v>13</v>
      </c>
      <c r="B98" s="102" t="s">
        <v>173</v>
      </c>
      <c r="C98" s="68" t="s">
        <v>49</v>
      </c>
      <c r="D98" s="34"/>
      <c r="E98" s="35"/>
      <c r="F98" s="35"/>
      <c r="G98" s="35"/>
      <c r="H98" s="35"/>
      <c r="I98" s="35"/>
      <c r="J98" s="35"/>
      <c r="K98" s="12" t="s">
        <v>4</v>
      </c>
      <c r="L98" s="12">
        <v>1</v>
      </c>
      <c r="M98" s="13"/>
      <c r="N98" s="13">
        <f t="shared" si="2"/>
        <v>0</v>
      </c>
    </row>
    <row r="99" spans="1:14" x14ac:dyDescent="0.25">
      <c r="A99" s="1" t="str">
        <f>IF(L99="","",MAX($A$1:$A98)+1)</f>
        <v/>
      </c>
      <c r="B99" s="102"/>
      <c r="C99" s="68"/>
      <c r="D99" s="34"/>
      <c r="E99" s="35"/>
      <c r="F99" s="35"/>
      <c r="G99" s="35"/>
      <c r="H99" s="35"/>
      <c r="I99" s="35"/>
      <c r="J99" s="35"/>
      <c r="K99" s="12"/>
      <c r="L99" s="12"/>
      <c r="M99" s="13"/>
      <c r="N99" s="13"/>
    </row>
    <row r="100" spans="1:14" x14ac:dyDescent="0.25">
      <c r="A100" s="1">
        <f>IF(L100="","",MAX($A$1:$A99)+1)</f>
        <v>14</v>
      </c>
      <c r="B100" s="102" t="s">
        <v>174</v>
      </c>
      <c r="C100" s="68" t="s">
        <v>50</v>
      </c>
      <c r="D100" s="34"/>
      <c r="E100" s="35"/>
      <c r="F100" s="35"/>
      <c r="G100" s="35"/>
      <c r="H100" s="35"/>
      <c r="I100" s="35"/>
      <c r="J100" s="35"/>
      <c r="K100" s="12" t="s">
        <v>4</v>
      </c>
      <c r="L100" s="12">
        <v>1</v>
      </c>
      <c r="M100" s="13"/>
      <c r="N100" s="13">
        <f>M100*L100</f>
        <v>0</v>
      </c>
    </row>
    <row r="101" spans="1:14" x14ac:dyDescent="0.25">
      <c r="A101" s="1" t="str">
        <f>IF(L101="","",MAX($A$1:$A100)+1)</f>
        <v/>
      </c>
      <c r="B101" s="102"/>
      <c r="C101" s="75"/>
      <c r="D101" s="34"/>
      <c r="E101" s="35"/>
      <c r="F101" s="35"/>
      <c r="G101" s="35"/>
      <c r="H101" s="35"/>
      <c r="I101" s="35"/>
      <c r="J101" s="35"/>
      <c r="K101" s="12"/>
      <c r="L101" s="12"/>
      <c r="M101" s="13"/>
      <c r="N101" s="13"/>
    </row>
    <row r="102" spans="1:14" x14ac:dyDescent="0.25">
      <c r="A102" s="1" t="str">
        <f>IF(L102="","",MAX($A$1:$A101)+1)</f>
        <v/>
      </c>
      <c r="B102" s="102"/>
      <c r="C102" s="87"/>
      <c r="D102" s="34"/>
      <c r="E102" s="35"/>
      <c r="F102" s="35"/>
      <c r="G102" s="35"/>
      <c r="H102" s="35"/>
      <c r="I102" s="35"/>
      <c r="J102" s="35"/>
      <c r="K102" s="12"/>
      <c r="L102" s="12"/>
      <c r="M102" s="13"/>
      <c r="N102" s="13"/>
    </row>
    <row r="103" spans="1:14" x14ac:dyDescent="0.25">
      <c r="A103" s="1" t="str">
        <f>IF(L103="","",MAX($A$1:$A102)+1)</f>
        <v/>
      </c>
      <c r="B103" s="102"/>
      <c r="C103" s="87"/>
      <c r="D103" s="34"/>
      <c r="E103" s="35"/>
      <c r="F103" s="35"/>
      <c r="G103" s="35"/>
      <c r="H103" s="35"/>
      <c r="I103" s="35"/>
      <c r="J103" s="35"/>
      <c r="K103" s="12"/>
      <c r="L103" s="12"/>
      <c r="M103" s="13"/>
      <c r="N103" s="13"/>
    </row>
    <row r="104" spans="1:14" x14ac:dyDescent="0.25">
      <c r="A104" s="1" t="str">
        <f>IF(L104="","",MAX($A$1:$A103)+1)</f>
        <v/>
      </c>
      <c r="B104" s="102"/>
      <c r="C104" s="140" t="s">
        <v>108</v>
      </c>
      <c r="D104" s="141"/>
      <c r="E104" s="141"/>
      <c r="F104" s="141"/>
      <c r="G104" s="141"/>
      <c r="H104" s="141"/>
      <c r="I104" s="141"/>
      <c r="J104" s="141"/>
      <c r="K104" s="141"/>
      <c r="L104" s="141"/>
      <c r="M104" s="142"/>
      <c r="N104" s="72">
        <f>SUM(N8:N102)</f>
        <v>0</v>
      </c>
    </row>
    <row r="105" spans="1:14" x14ac:dyDescent="0.25">
      <c r="A105" s="1" t="str">
        <f>IF(L105="","",MAX($A$1:$A104)+1)</f>
        <v/>
      </c>
      <c r="B105" s="102"/>
      <c r="C105" s="143" t="s">
        <v>13</v>
      </c>
      <c r="D105" s="144"/>
      <c r="E105" s="144"/>
      <c r="F105" s="144"/>
      <c r="G105" s="144"/>
      <c r="H105" s="144"/>
      <c r="I105" s="144"/>
      <c r="J105" s="144"/>
      <c r="K105" s="144"/>
      <c r="L105" s="144"/>
      <c r="M105" s="145"/>
      <c r="N105" s="73">
        <f>0.2*N104</f>
        <v>0</v>
      </c>
    </row>
    <row r="106" spans="1:14" x14ac:dyDescent="0.25">
      <c r="A106" s="11"/>
      <c r="B106" s="102"/>
      <c r="C106" s="146" t="s">
        <v>109</v>
      </c>
      <c r="D106" s="147"/>
      <c r="E106" s="147"/>
      <c r="F106" s="147"/>
      <c r="G106" s="147"/>
      <c r="H106" s="147"/>
      <c r="I106" s="147"/>
      <c r="J106" s="147"/>
      <c r="K106" s="147"/>
      <c r="L106" s="147"/>
      <c r="M106" s="148"/>
      <c r="N106" s="113">
        <f>N105+N104</f>
        <v>0</v>
      </c>
    </row>
    <row r="107" spans="1:14" x14ac:dyDescent="0.25">
      <c r="A107" s="108"/>
      <c r="B107" s="121"/>
      <c r="C107" s="109"/>
      <c r="D107" s="110"/>
      <c r="E107" s="111"/>
      <c r="F107" s="111"/>
      <c r="G107" s="111"/>
      <c r="H107" s="111"/>
      <c r="I107" s="111"/>
      <c r="J107" s="111"/>
      <c r="K107" s="105"/>
      <c r="L107" s="105"/>
      <c r="M107" s="112"/>
      <c r="N107" s="112"/>
    </row>
    <row r="108" spans="1:14" x14ac:dyDescent="0.25">
      <c r="A108" s="11"/>
      <c r="B108" s="102"/>
      <c r="C108" s="87"/>
      <c r="D108" s="34"/>
      <c r="E108" s="35"/>
      <c r="F108" s="35"/>
      <c r="G108" s="35"/>
      <c r="H108" s="35"/>
      <c r="I108" s="35"/>
      <c r="J108" s="35"/>
      <c r="K108" s="12"/>
      <c r="L108" s="12"/>
      <c r="M108" s="13"/>
      <c r="N108" s="13"/>
    </row>
    <row r="109" spans="1:14" x14ac:dyDescent="0.25">
      <c r="A109" s="11"/>
      <c r="B109" s="102"/>
      <c r="C109" s="87"/>
      <c r="D109" s="34"/>
      <c r="E109" s="35"/>
      <c r="F109" s="35"/>
      <c r="G109" s="35"/>
      <c r="H109" s="35"/>
      <c r="I109" s="35"/>
      <c r="J109" s="35"/>
      <c r="K109" s="12"/>
      <c r="L109" s="12"/>
      <c r="M109" s="13"/>
      <c r="N109" s="13"/>
    </row>
    <row r="110" spans="1:14" x14ac:dyDescent="0.25">
      <c r="A110" s="11"/>
      <c r="B110" s="102"/>
      <c r="C110" s="87"/>
      <c r="D110" s="34"/>
      <c r="E110" s="35"/>
      <c r="F110" s="35"/>
      <c r="G110" s="35"/>
      <c r="H110" s="35"/>
      <c r="I110" s="35"/>
      <c r="J110" s="35"/>
      <c r="K110" s="12"/>
      <c r="L110" s="12"/>
      <c r="M110" s="13"/>
      <c r="N110" s="13"/>
    </row>
    <row r="111" spans="1:14" x14ac:dyDescent="0.25">
      <c r="A111" s="11"/>
      <c r="B111" s="102"/>
      <c r="C111" s="87"/>
      <c r="D111" s="34"/>
      <c r="E111" s="35"/>
      <c r="F111" s="35"/>
      <c r="G111" s="35"/>
      <c r="H111" s="35"/>
      <c r="I111" s="35"/>
      <c r="J111" s="35"/>
      <c r="K111" s="12"/>
      <c r="L111" s="12"/>
      <c r="M111" s="13"/>
      <c r="N111" s="13"/>
    </row>
    <row r="112" spans="1:14" x14ac:dyDescent="0.25">
      <c r="A112" s="11"/>
      <c r="B112" s="102"/>
      <c r="C112" s="87"/>
      <c r="D112" s="34"/>
      <c r="E112" s="35"/>
      <c r="F112" s="35"/>
      <c r="G112" s="35"/>
      <c r="H112" s="35"/>
      <c r="I112" s="35"/>
      <c r="J112" s="35"/>
      <c r="K112" s="12"/>
      <c r="L112" s="12"/>
      <c r="M112" s="13"/>
      <c r="N112" s="13"/>
    </row>
    <row r="113" spans="1:14" x14ac:dyDescent="0.25">
      <c r="A113" s="11"/>
      <c r="B113" s="102"/>
      <c r="C113" s="87"/>
      <c r="D113" s="34"/>
      <c r="E113" s="35"/>
      <c r="F113" s="35"/>
      <c r="G113" s="35"/>
      <c r="H113" s="35"/>
      <c r="I113" s="35"/>
      <c r="J113" s="35"/>
      <c r="K113" s="12"/>
      <c r="L113" s="12"/>
      <c r="M113" s="13"/>
      <c r="N113" s="13"/>
    </row>
    <row r="114" spans="1:14" x14ac:dyDescent="0.25">
      <c r="A114" s="11"/>
      <c r="B114" s="102"/>
      <c r="C114" s="87"/>
      <c r="D114" s="34"/>
      <c r="E114" s="35"/>
      <c r="F114" s="35"/>
      <c r="G114" s="35"/>
      <c r="H114" s="35"/>
      <c r="I114" s="35"/>
      <c r="J114" s="35"/>
      <c r="K114" s="12"/>
      <c r="L114" s="12"/>
      <c r="M114" s="13"/>
      <c r="N114" s="13"/>
    </row>
    <row r="115" spans="1:14" x14ac:dyDescent="0.25">
      <c r="A115" s="11"/>
      <c r="B115" s="102"/>
      <c r="C115" s="87"/>
      <c r="D115" s="34"/>
      <c r="E115" s="35"/>
      <c r="F115" s="35"/>
      <c r="G115" s="35"/>
      <c r="H115" s="35"/>
      <c r="I115" s="35"/>
      <c r="J115" s="35"/>
      <c r="K115" s="12"/>
      <c r="L115" s="12"/>
      <c r="M115" s="13"/>
      <c r="N115" s="13"/>
    </row>
    <row r="116" spans="1:14" x14ac:dyDescent="0.25">
      <c r="A116" s="11"/>
      <c r="B116" s="102"/>
      <c r="C116" s="87"/>
      <c r="D116" s="34"/>
      <c r="E116" s="35"/>
      <c r="F116" s="35"/>
      <c r="G116" s="35"/>
      <c r="H116" s="35"/>
      <c r="I116" s="35"/>
      <c r="J116" s="35"/>
      <c r="K116" s="12"/>
      <c r="L116" s="12"/>
      <c r="M116" s="13"/>
      <c r="N116" s="13"/>
    </row>
    <row r="117" spans="1:14" x14ac:dyDescent="0.25">
      <c r="A117" s="11"/>
      <c r="B117" s="102"/>
      <c r="C117" s="87"/>
      <c r="D117" s="34"/>
      <c r="E117" s="35"/>
      <c r="F117" s="35"/>
      <c r="G117" s="35"/>
      <c r="H117" s="35"/>
      <c r="I117" s="35"/>
      <c r="J117" s="35"/>
      <c r="K117" s="12"/>
      <c r="L117" s="12"/>
      <c r="M117" s="13"/>
      <c r="N117" s="13"/>
    </row>
    <row r="118" spans="1:14" x14ac:dyDescent="0.25">
      <c r="A118" s="11"/>
      <c r="B118" s="102"/>
      <c r="C118" s="87"/>
      <c r="D118" s="34"/>
      <c r="E118" s="35"/>
      <c r="F118" s="35"/>
      <c r="G118" s="35"/>
      <c r="H118" s="35"/>
      <c r="I118" s="35"/>
      <c r="J118" s="35"/>
      <c r="K118" s="12"/>
      <c r="L118" s="12"/>
      <c r="M118" s="13"/>
      <c r="N118" s="13"/>
    </row>
    <row r="119" spans="1:14" x14ac:dyDescent="0.25">
      <c r="A119" s="11"/>
      <c r="B119" s="102"/>
      <c r="C119" s="87"/>
      <c r="D119" s="34"/>
      <c r="E119" s="35"/>
      <c r="F119" s="35"/>
      <c r="G119" s="35"/>
      <c r="H119" s="35"/>
      <c r="I119" s="35"/>
      <c r="J119" s="35"/>
      <c r="K119" s="12"/>
      <c r="L119" s="12"/>
      <c r="M119" s="13"/>
      <c r="N119" s="13"/>
    </row>
    <row r="120" spans="1:14" x14ac:dyDescent="0.25">
      <c r="A120" s="11"/>
      <c r="B120" s="102"/>
      <c r="C120" s="87"/>
      <c r="D120" s="34"/>
      <c r="E120" s="35"/>
      <c r="F120" s="35"/>
      <c r="G120" s="35"/>
      <c r="H120" s="35"/>
      <c r="I120" s="35"/>
      <c r="J120" s="35"/>
      <c r="K120" s="12"/>
      <c r="L120" s="12"/>
      <c r="M120" s="13"/>
      <c r="N120" s="13"/>
    </row>
    <row r="121" spans="1:14" x14ac:dyDescent="0.25">
      <c r="A121" s="11"/>
      <c r="B121" s="102"/>
      <c r="C121" s="87"/>
      <c r="D121" s="34"/>
      <c r="E121" s="35"/>
      <c r="F121" s="35"/>
      <c r="G121" s="35"/>
      <c r="H121" s="35"/>
      <c r="I121" s="35"/>
      <c r="J121" s="35"/>
      <c r="K121" s="12"/>
      <c r="L121" s="12"/>
      <c r="M121" s="13"/>
      <c r="N121" s="13"/>
    </row>
    <row r="122" spans="1:14" x14ac:dyDescent="0.25">
      <c r="A122" s="11"/>
      <c r="B122" s="102"/>
      <c r="C122" s="87"/>
      <c r="D122" s="34"/>
      <c r="E122" s="35"/>
      <c r="F122" s="35"/>
      <c r="G122" s="35"/>
      <c r="H122" s="35"/>
      <c r="I122" s="35"/>
      <c r="J122" s="35"/>
      <c r="K122" s="12"/>
      <c r="L122" s="12"/>
      <c r="M122" s="13"/>
      <c r="N122" s="13"/>
    </row>
    <row r="123" spans="1:14" x14ac:dyDescent="0.25">
      <c r="A123" s="11"/>
      <c r="B123" s="102"/>
      <c r="C123" s="87"/>
      <c r="D123" s="34"/>
      <c r="E123" s="35"/>
      <c r="F123" s="35"/>
      <c r="G123" s="35"/>
      <c r="H123" s="35"/>
      <c r="I123" s="35"/>
      <c r="J123" s="35"/>
      <c r="K123" s="12"/>
      <c r="L123" s="12"/>
      <c r="M123" s="13"/>
      <c r="N123" s="13"/>
    </row>
    <row r="124" spans="1:14" x14ac:dyDescent="0.25">
      <c r="A124" s="11"/>
      <c r="B124" s="102"/>
      <c r="C124" s="87"/>
      <c r="D124" s="34"/>
      <c r="E124" s="35"/>
      <c r="F124" s="35"/>
      <c r="G124" s="35"/>
      <c r="H124" s="35"/>
      <c r="I124" s="35"/>
      <c r="J124" s="35"/>
      <c r="K124" s="12"/>
      <c r="L124" s="12"/>
      <c r="M124" s="13"/>
      <c r="N124" s="13"/>
    </row>
    <row r="125" spans="1:14" x14ac:dyDescent="0.25">
      <c r="A125" s="11"/>
      <c r="B125" s="102"/>
      <c r="C125" s="87"/>
      <c r="D125" s="34"/>
      <c r="E125" s="35"/>
      <c r="F125" s="35"/>
      <c r="G125" s="35"/>
      <c r="H125" s="35"/>
      <c r="I125" s="35"/>
      <c r="J125" s="35"/>
      <c r="K125" s="12"/>
      <c r="L125" s="12"/>
      <c r="M125" s="13"/>
      <c r="N125" s="13"/>
    </row>
    <row r="126" spans="1:14" x14ac:dyDescent="0.25">
      <c r="A126" s="11"/>
      <c r="B126" s="102"/>
      <c r="C126" s="87"/>
      <c r="D126" s="34"/>
      <c r="E126" s="35"/>
      <c r="F126" s="35"/>
      <c r="G126" s="35"/>
      <c r="H126" s="35"/>
      <c r="I126" s="35"/>
      <c r="J126" s="35"/>
      <c r="K126" s="12"/>
      <c r="L126" s="12"/>
      <c r="M126" s="13"/>
      <c r="N126" s="13"/>
    </row>
    <row r="127" spans="1:14" x14ac:dyDescent="0.25">
      <c r="A127" s="11"/>
      <c r="B127" s="102"/>
      <c r="C127" s="87"/>
      <c r="D127" s="34"/>
      <c r="E127" s="35"/>
      <c r="F127" s="35"/>
      <c r="G127" s="35"/>
      <c r="H127" s="35"/>
      <c r="I127" s="35"/>
      <c r="J127" s="35"/>
      <c r="K127" s="12"/>
      <c r="L127" s="12"/>
      <c r="M127" s="13"/>
      <c r="N127" s="13"/>
    </row>
    <row r="128" spans="1:14" x14ac:dyDescent="0.25">
      <c r="A128" s="11"/>
      <c r="B128" s="102"/>
      <c r="C128" s="87"/>
      <c r="D128" s="34"/>
      <c r="E128" s="35"/>
      <c r="F128" s="35"/>
      <c r="G128" s="35"/>
      <c r="H128" s="35"/>
      <c r="I128" s="35"/>
      <c r="J128" s="35"/>
      <c r="K128" s="12"/>
      <c r="L128" s="12"/>
      <c r="M128" s="13"/>
      <c r="N128" s="13"/>
    </row>
    <row r="129" spans="1:14" x14ac:dyDescent="0.25">
      <c r="A129" s="11"/>
      <c r="B129" s="102"/>
      <c r="C129" s="87"/>
      <c r="D129" s="34"/>
      <c r="E129" s="35"/>
      <c r="F129" s="35"/>
      <c r="G129" s="35"/>
      <c r="H129" s="35"/>
      <c r="I129" s="35"/>
      <c r="J129" s="35"/>
      <c r="K129" s="12"/>
      <c r="L129" s="12"/>
      <c r="M129" s="13">
        <v>150</v>
      </c>
      <c r="N129" s="13"/>
    </row>
    <row r="130" spans="1:14" x14ac:dyDescent="0.25">
      <c r="A130" s="11"/>
      <c r="B130" s="102"/>
      <c r="C130" s="87"/>
      <c r="D130" s="34"/>
      <c r="E130" s="35"/>
      <c r="F130" s="35"/>
      <c r="G130" s="35"/>
      <c r="H130" s="35"/>
      <c r="I130" s="35"/>
      <c r="J130" s="35"/>
      <c r="K130" s="12"/>
      <c r="L130" s="12"/>
      <c r="M130" s="13"/>
      <c r="N130" s="13"/>
    </row>
    <row r="131" spans="1:14" x14ac:dyDescent="0.25">
      <c r="A131" s="11"/>
      <c r="B131" s="102"/>
      <c r="C131" s="87"/>
      <c r="D131" s="34"/>
      <c r="E131" s="35"/>
      <c r="F131" s="35"/>
      <c r="G131" s="35"/>
      <c r="H131" s="35"/>
      <c r="I131" s="35"/>
      <c r="J131" s="35"/>
      <c r="K131" s="12"/>
      <c r="L131" s="12"/>
      <c r="M131" s="13"/>
      <c r="N131" s="13"/>
    </row>
    <row r="132" spans="1:14" x14ac:dyDescent="0.25">
      <c r="A132" s="11"/>
      <c r="B132" s="102"/>
      <c r="C132" s="87"/>
      <c r="D132" s="34"/>
      <c r="E132" s="35"/>
      <c r="F132" s="35"/>
      <c r="G132" s="35"/>
      <c r="H132" s="35"/>
      <c r="I132" s="35"/>
      <c r="J132" s="35"/>
      <c r="K132" s="12"/>
      <c r="L132" s="12"/>
      <c r="M132" s="13"/>
      <c r="N132" s="13"/>
    </row>
    <row r="133" spans="1:14" x14ac:dyDescent="0.25">
      <c r="A133" s="11"/>
      <c r="B133" s="102"/>
      <c r="C133" s="87"/>
      <c r="D133" s="34"/>
      <c r="E133" s="35"/>
      <c r="F133" s="35"/>
      <c r="G133" s="35"/>
      <c r="H133" s="35"/>
      <c r="I133" s="35"/>
      <c r="J133" s="35"/>
      <c r="K133" s="12"/>
      <c r="L133" s="12"/>
      <c r="M133" s="13"/>
      <c r="N133" s="13"/>
    </row>
    <row r="134" spans="1:14" x14ac:dyDescent="0.25">
      <c r="A134" s="11"/>
      <c r="B134" s="102"/>
      <c r="C134" s="87"/>
      <c r="D134" s="34"/>
      <c r="E134" s="35"/>
      <c r="F134" s="35"/>
      <c r="G134" s="35"/>
      <c r="H134" s="35"/>
      <c r="I134" s="35"/>
      <c r="J134" s="35"/>
      <c r="K134" s="12"/>
      <c r="L134" s="12"/>
      <c r="M134" s="13"/>
      <c r="N134" s="13"/>
    </row>
    <row r="135" spans="1:14" x14ac:dyDescent="0.25">
      <c r="A135" s="11"/>
      <c r="B135" s="102"/>
      <c r="C135" s="87"/>
      <c r="D135" s="34"/>
      <c r="E135" s="35"/>
      <c r="F135" s="35"/>
      <c r="G135" s="35"/>
      <c r="H135" s="35"/>
      <c r="I135" s="35"/>
      <c r="J135" s="35"/>
      <c r="K135" s="12"/>
      <c r="L135" s="12"/>
      <c r="M135" s="13"/>
      <c r="N135" s="13"/>
    </row>
    <row r="136" spans="1:14" x14ac:dyDescent="0.25">
      <c r="A136" s="11"/>
      <c r="B136" s="102"/>
      <c r="C136" s="87"/>
      <c r="D136" s="34"/>
      <c r="E136" s="35"/>
      <c r="F136" s="35"/>
      <c r="G136" s="35"/>
      <c r="H136" s="35"/>
      <c r="I136" s="35"/>
      <c r="J136" s="35"/>
      <c r="K136" s="12"/>
      <c r="L136" s="12"/>
      <c r="M136" s="13"/>
      <c r="N136" s="13"/>
    </row>
  </sheetData>
  <mergeCells count="4">
    <mergeCell ref="D1:J1"/>
    <mergeCell ref="C104:M104"/>
    <mergeCell ref="C105:M105"/>
    <mergeCell ref="C106:M106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3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7AC1-A551-40B1-9F1F-532E13BD36B2}">
  <sheetPr codeName="Feuil17">
    <tabColor theme="9"/>
    <pageSetUpPr fitToPage="1"/>
  </sheetPr>
  <dimension ref="A1:N144"/>
  <sheetViews>
    <sheetView showGridLines="0" tabSelected="1" view="pageBreakPreview" topLeftCell="A29" zoomScaleNormal="100" zoomScaleSheetLayoutView="100" workbookViewId="0">
      <selection activeCell="B136" sqref="B136"/>
    </sheetView>
  </sheetViews>
  <sheetFormatPr baseColWidth="10" defaultRowHeight="15" outlineLevelRow="2" outlineLevelCol="1" x14ac:dyDescent="0.25"/>
  <cols>
    <col min="1" max="1" width="6" style="6" customWidth="1"/>
    <col min="2" max="2" width="6" style="9" customWidth="1"/>
    <col min="3" max="3" width="58.42578125" style="92" customWidth="1"/>
    <col min="4" max="4" width="23.5703125" style="32" hidden="1" customWidth="1" outlineLevel="1"/>
    <col min="5" max="5" width="3.28515625" style="33" hidden="1" customWidth="1" outlineLevel="1"/>
    <col min="6" max="6" width="7.140625" style="33" hidden="1" customWidth="1" outlineLevel="1"/>
    <col min="7" max="7" width="3.140625" style="33" hidden="1" customWidth="1" outlineLevel="1"/>
    <col min="8" max="8" width="7.140625" style="33" hidden="1" customWidth="1" outlineLevel="1"/>
    <col min="9" max="9" width="3.85546875" style="33" hidden="1" customWidth="1" outlineLevel="1"/>
    <col min="10" max="10" width="7.140625" style="33" hidden="1" customWidth="1" outlineLevel="1"/>
    <col min="11" max="11" width="7.140625" style="9" customWidth="1" collapsed="1"/>
    <col min="12" max="12" width="7.7109375" style="9" customWidth="1"/>
    <col min="13" max="13" width="12.42578125" style="24" bestFit="1" customWidth="1"/>
    <col min="14" max="14" width="15.7109375" style="24" customWidth="1"/>
  </cols>
  <sheetData>
    <row r="1" spans="1:14" s="5" customFormat="1" ht="12" x14ac:dyDescent="0.2">
      <c r="A1" s="2" t="s">
        <v>7</v>
      </c>
      <c r="B1" s="3" t="s">
        <v>10</v>
      </c>
      <c r="C1" s="89" t="s">
        <v>0</v>
      </c>
      <c r="D1" s="137" t="s">
        <v>16</v>
      </c>
      <c r="E1" s="138"/>
      <c r="F1" s="138"/>
      <c r="G1" s="138"/>
      <c r="H1" s="138"/>
      <c r="I1" s="138"/>
      <c r="J1" s="139"/>
      <c r="K1" s="3" t="s">
        <v>1</v>
      </c>
      <c r="L1" s="3" t="s">
        <v>2</v>
      </c>
      <c r="M1" s="4" t="s">
        <v>3</v>
      </c>
      <c r="N1" s="4" t="s">
        <v>11</v>
      </c>
    </row>
    <row r="2" spans="1:14" x14ac:dyDescent="0.25">
      <c r="A2" s="11"/>
      <c r="B2" s="12"/>
      <c r="C2" s="74"/>
      <c r="D2" s="34"/>
      <c r="E2" s="35"/>
      <c r="F2" s="35"/>
      <c r="G2" s="35"/>
      <c r="H2" s="35"/>
      <c r="I2" s="35"/>
      <c r="J2" s="35"/>
      <c r="K2" s="12"/>
      <c r="L2" s="12"/>
      <c r="M2" s="13"/>
      <c r="N2" s="13"/>
    </row>
    <row r="3" spans="1:14" x14ac:dyDescent="0.25">
      <c r="A3" s="11"/>
      <c r="B3" s="12"/>
      <c r="C3" s="74"/>
      <c r="D3" s="34"/>
      <c r="E3" s="35"/>
      <c r="F3" s="35"/>
      <c r="G3" s="35"/>
      <c r="H3" s="35"/>
      <c r="I3" s="35"/>
      <c r="J3" s="35"/>
      <c r="K3" s="12"/>
      <c r="L3" s="12"/>
      <c r="M3" s="13"/>
      <c r="N3" s="13"/>
    </row>
    <row r="4" spans="1:14" x14ac:dyDescent="0.25">
      <c r="A4" s="11"/>
      <c r="B4" s="12"/>
      <c r="C4" s="19" t="s">
        <v>19</v>
      </c>
      <c r="D4" s="34"/>
      <c r="E4" s="35"/>
      <c r="F4" s="35"/>
      <c r="G4" s="35"/>
      <c r="H4" s="35"/>
      <c r="I4" s="35"/>
      <c r="J4" s="35"/>
      <c r="K4" s="12"/>
      <c r="L4" s="12"/>
      <c r="M4" s="13"/>
      <c r="N4" s="13"/>
    </row>
    <row r="5" spans="1:14" x14ac:dyDescent="0.25">
      <c r="A5" s="11"/>
      <c r="B5" s="12"/>
      <c r="C5" s="74"/>
      <c r="D5" s="34"/>
      <c r="E5" s="35"/>
      <c r="F5" s="35"/>
      <c r="G5" s="35"/>
      <c r="H5" s="35"/>
      <c r="I5" s="35"/>
      <c r="J5" s="35"/>
      <c r="K5" s="12"/>
      <c r="L5" s="12"/>
      <c r="M5" s="13"/>
      <c r="N5" s="13"/>
    </row>
    <row r="6" spans="1:14" x14ac:dyDescent="0.25">
      <c r="A6" s="11"/>
      <c r="B6" s="12"/>
      <c r="C6" s="90" t="s">
        <v>15</v>
      </c>
      <c r="D6" s="34"/>
      <c r="E6" s="35"/>
      <c r="F6" s="35"/>
      <c r="G6" s="35"/>
      <c r="H6" s="35"/>
      <c r="I6" s="35"/>
      <c r="J6" s="35"/>
      <c r="K6" s="12"/>
      <c r="L6" s="12"/>
      <c r="M6" s="13"/>
      <c r="N6" s="13"/>
    </row>
    <row r="7" spans="1:14" x14ac:dyDescent="0.25">
      <c r="A7" s="11"/>
      <c r="B7" s="12"/>
      <c r="C7" s="74"/>
      <c r="D7" s="34"/>
      <c r="E7" s="35"/>
      <c r="F7" s="35"/>
      <c r="G7" s="35"/>
      <c r="H7" s="35"/>
      <c r="I7" s="35"/>
      <c r="J7" s="35"/>
      <c r="K7" s="12"/>
      <c r="L7" s="12"/>
      <c r="M7" s="13"/>
      <c r="N7" s="13"/>
    </row>
    <row r="8" spans="1:14" x14ac:dyDescent="0.25">
      <c r="A8" s="11"/>
      <c r="B8" s="12"/>
      <c r="C8" s="74"/>
      <c r="D8" s="34"/>
      <c r="E8" s="35"/>
      <c r="F8" s="35"/>
      <c r="G8" s="35"/>
      <c r="H8" s="35"/>
      <c r="I8" s="35"/>
      <c r="J8" s="35"/>
      <c r="K8" s="12"/>
      <c r="L8" s="12"/>
      <c r="M8" s="13"/>
      <c r="N8" s="13"/>
    </row>
    <row r="9" spans="1:14" x14ac:dyDescent="0.25">
      <c r="A9" s="1" t="str">
        <f>IF(L9="","",MAX($A$1:$A8)+1)</f>
        <v/>
      </c>
      <c r="B9" s="12" t="s">
        <v>170</v>
      </c>
      <c r="C9" s="26" t="s">
        <v>20</v>
      </c>
      <c r="D9" s="34"/>
      <c r="E9" s="35"/>
      <c r="F9" s="35"/>
      <c r="G9" s="35"/>
      <c r="H9" s="35"/>
      <c r="I9" s="35"/>
      <c r="J9" s="35"/>
      <c r="K9" s="12"/>
      <c r="L9" s="12"/>
      <c r="M9" s="13"/>
      <c r="N9" s="13"/>
    </row>
    <row r="10" spans="1:14" x14ac:dyDescent="0.25">
      <c r="A10" s="1" t="str">
        <f>IF(L10="","",MAX($A$1:$A9)+1)</f>
        <v/>
      </c>
      <c r="B10" s="12"/>
      <c r="C10" s="25"/>
      <c r="D10" s="34"/>
      <c r="E10" s="35"/>
      <c r="F10" s="35"/>
      <c r="G10" s="35"/>
      <c r="H10" s="35"/>
      <c r="I10" s="35"/>
      <c r="J10" s="35"/>
      <c r="K10" s="12"/>
      <c r="L10" s="12"/>
      <c r="M10" s="13"/>
      <c r="N10" s="13"/>
    </row>
    <row r="11" spans="1:14" x14ac:dyDescent="0.25">
      <c r="A11" s="1" t="str">
        <f>IF(L11="","",MAX($A$1:$A10)+1)</f>
        <v/>
      </c>
      <c r="B11" s="12"/>
      <c r="C11" s="68" t="s">
        <v>21</v>
      </c>
      <c r="D11" s="34"/>
      <c r="E11" s="35"/>
      <c r="F11" s="35"/>
      <c r="G11" s="35"/>
      <c r="H11" s="35"/>
      <c r="I11" s="35"/>
      <c r="J11" s="35"/>
      <c r="K11" s="12"/>
      <c r="L11" s="12"/>
      <c r="M11" s="13"/>
      <c r="N11" s="13"/>
    </row>
    <row r="12" spans="1:14" x14ac:dyDescent="0.25">
      <c r="A12" s="1">
        <f>IF(L12="","",MAX($A$1:$A11)+1)</f>
        <v>1</v>
      </c>
      <c r="B12" s="12" t="s">
        <v>163</v>
      </c>
      <c r="C12" s="46" t="s">
        <v>110</v>
      </c>
      <c r="D12" s="34"/>
      <c r="E12" s="35"/>
      <c r="F12" s="35"/>
      <c r="G12" s="35"/>
      <c r="H12" s="35"/>
      <c r="I12" s="35"/>
      <c r="J12" s="36"/>
      <c r="K12" s="37" t="s">
        <v>4</v>
      </c>
      <c r="L12" s="37">
        <v>1</v>
      </c>
      <c r="M12" s="38"/>
      <c r="N12" s="13">
        <f>M12*L12</f>
        <v>0</v>
      </c>
    </row>
    <row r="13" spans="1:14" x14ac:dyDescent="0.25">
      <c r="A13" s="1">
        <f>IF(L13="","",MAX($A$1:$A12)+1)</f>
        <v>2</v>
      </c>
      <c r="B13" s="12" t="s">
        <v>164</v>
      </c>
      <c r="C13" s="46" t="s">
        <v>156</v>
      </c>
      <c r="D13" s="34"/>
      <c r="E13" s="35"/>
      <c r="F13" s="35"/>
      <c r="G13" s="35"/>
      <c r="H13" s="35"/>
      <c r="I13" s="35"/>
      <c r="J13" s="36"/>
      <c r="K13" s="37" t="s">
        <v>4</v>
      </c>
      <c r="L13" s="37">
        <v>1</v>
      </c>
      <c r="M13" s="38"/>
      <c r="N13" s="13">
        <f>M13*L13</f>
        <v>0</v>
      </c>
    </row>
    <row r="14" spans="1:14" x14ac:dyDescent="0.25">
      <c r="A14" s="1">
        <f>IF(L14="","",MAX($A$1:$A13)+1)</f>
        <v>3</v>
      </c>
      <c r="B14" s="12" t="s">
        <v>162</v>
      </c>
      <c r="C14" s="67" t="s">
        <v>57</v>
      </c>
      <c r="D14" s="34"/>
      <c r="E14" s="35"/>
      <c r="F14" s="35"/>
      <c r="G14" s="35"/>
      <c r="H14" s="35"/>
      <c r="I14" s="35"/>
      <c r="J14" s="35"/>
      <c r="K14" s="12" t="s">
        <v>9</v>
      </c>
      <c r="L14" s="15">
        <v>170</v>
      </c>
      <c r="M14" s="13"/>
      <c r="N14" s="13">
        <f>M14*L14</f>
        <v>0</v>
      </c>
    </row>
    <row r="15" spans="1:14" hidden="1" outlineLevel="1" x14ac:dyDescent="0.25">
      <c r="A15" s="1" t="str">
        <f>IF(L15="","",MAX($A$1:$A14)+1)</f>
        <v/>
      </c>
      <c r="B15" s="37"/>
      <c r="C15" s="67"/>
      <c r="D15" s="34" t="s">
        <v>111</v>
      </c>
      <c r="E15" s="35" t="s">
        <v>17</v>
      </c>
      <c r="F15" s="35">
        <f>8.5*7.6</f>
        <v>64.599999999999994</v>
      </c>
      <c r="G15" s="35"/>
      <c r="H15" s="35"/>
      <c r="I15" s="35"/>
      <c r="J15" s="35"/>
      <c r="K15" s="12"/>
      <c r="L15" s="12"/>
      <c r="M15" s="13"/>
      <c r="N15" s="13"/>
    </row>
    <row r="16" spans="1:14" s="8" customFormat="1" hidden="1" outlineLevel="1" x14ac:dyDescent="0.25">
      <c r="A16" s="1" t="str">
        <f>IF(L16="","",MAX($A$1:$A15)+1)</f>
        <v/>
      </c>
      <c r="B16" s="63"/>
      <c r="C16" s="76"/>
      <c r="D16" s="60" t="s">
        <v>112</v>
      </c>
      <c r="E16" s="61"/>
      <c r="F16" s="61"/>
      <c r="G16" s="61"/>
      <c r="H16" s="61"/>
      <c r="I16" s="61"/>
      <c r="J16" s="62"/>
      <c r="K16" s="63"/>
      <c r="L16" s="63"/>
      <c r="M16" s="38"/>
      <c r="N16" s="64"/>
    </row>
    <row r="17" spans="1:14" s="8" customFormat="1" hidden="1" outlineLevel="1" x14ac:dyDescent="0.25">
      <c r="A17" s="1" t="str">
        <f>IF(L17="","",MAX($A$1:$A16)+1)</f>
        <v/>
      </c>
      <c r="B17" s="63"/>
      <c r="C17" s="76"/>
      <c r="D17" s="60" t="s">
        <v>113</v>
      </c>
      <c r="E17" s="61" t="s">
        <v>17</v>
      </c>
      <c r="F17" s="61">
        <v>7.18</v>
      </c>
      <c r="G17" s="61"/>
      <c r="H17" s="61"/>
      <c r="I17" s="61"/>
      <c r="J17" s="62"/>
      <c r="K17" s="63"/>
      <c r="L17" s="63"/>
      <c r="M17" s="38"/>
      <c r="N17" s="64"/>
    </row>
    <row r="18" spans="1:14" s="8" customFormat="1" hidden="1" outlineLevel="1" x14ac:dyDescent="0.25">
      <c r="A18" s="1" t="str">
        <f>IF(L18="","",MAX($A$1:$A17)+1)</f>
        <v/>
      </c>
      <c r="B18" s="63"/>
      <c r="C18" s="76"/>
      <c r="D18" s="60" t="s">
        <v>114</v>
      </c>
      <c r="E18" s="61" t="s">
        <v>17</v>
      </c>
      <c r="F18" s="61">
        <v>8.8800000000000008</v>
      </c>
      <c r="G18" s="61"/>
      <c r="H18" s="61"/>
      <c r="I18" s="61"/>
      <c r="J18" s="62"/>
      <c r="K18" s="63"/>
      <c r="L18" s="63"/>
      <c r="M18" s="38"/>
      <c r="N18" s="64"/>
    </row>
    <row r="19" spans="1:14" s="8" customFormat="1" hidden="1" outlineLevel="1" x14ac:dyDescent="0.25">
      <c r="A19" s="1" t="str">
        <f>IF(L19="","",MAX($A$1:$A18)+1)</f>
        <v/>
      </c>
      <c r="B19" s="63"/>
      <c r="C19" s="76"/>
      <c r="D19" s="60" t="s">
        <v>115</v>
      </c>
      <c r="E19" s="61" t="s">
        <v>17</v>
      </c>
      <c r="F19" s="61">
        <v>16.91</v>
      </c>
      <c r="G19" s="61"/>
      <c r="H19" s="61"/>
      <c r="I19" s="61"/>
      <c r="J19" s="62"/>
      <c r="K19" s="63"/>
      <c r="L19" s="63"/>
      <c r="M19" s="38"/>
      <c r="N19" s="64"/>
    </row>
    <row r="20" spans="1:14" s="8" customFormat="1" hidden="1" outlineLevel="1" x14ac:dyDescent="0.25">
      <c r="A20" s="1" t="str">
        <f>IF(L20="","",MAX($A$1:$A19)+1)</f>
        <v/>
      </c>
      <c r="B20" s="63"/>
      <c r="C20" s="76"/>
      <c r="D20" s="60" t="s">
        <v>116</v>
      </c>
      <c r="E20" s="61" t="s">
        <v>17</v>
      </c>
      <c r="F20" s="61">
        <v>1.1499999999999999</v>
      </c>
      <c r="G20" s="61"/>
      <c r="H20" s="61"/>
      <c r="I20" s="61"/>
      <c r="J20" s="62"/>
      <c r="K20" s="63"/>
      <c r="L20" s="63"/>
      <c r="M20" s="38"/>
      <c r="N20" s="64"/>
    </row>
    <row r="21" spans="1:14" s="8" customFormat="1" hidden="1" outlineLevel="1" x14ac:dyDescent="0.25">
      <c r="A21" s="1" t="str">
        <f>IF(L21="","",MAX($A$1:$A20)+1)</f>
        <v/>
      </c>
      <c r="B21" s="63"/>
      <c r="C21" s="76"/>
      <c r="D21" s="60" t="s">
        <v>117</v>
      </c>
      <c r="E21" s="61" t="s">
        <v>17</v>
      </c>
      <c r="F21" s="61">
        <v>1.1499999999999999</v>
      </c>
      <c r="G21" s="61"/>
      <c r="H21" s="61"/>
      <c r="I21" s="61"/>
      <c r="J21" s="62"/>
      <c r="K21" s="63"/>
      <c r="L21" s="63"/>
      <c r="M21" s="38"/>
      <c r="N21" s="64"/>
    </row>
    <row r="22" spans="1:14" s="8" customFormat="1" hidden="1" outlineLevel="1" x14ac:dyDescent="0.25">
      <c r="A22" s="1" t="str">
        <f>IF(L22="","",MAX($A$1:$A21)+1)</f>
        <v/>
      </c>
      <c r="B22" s="63"/>
      <c r="C22" s="76"/>
      <c r="D22" s="60" t="s">
        <v>118</v>
      </c>
      <c r="E22" s="61" t="s">
        <v>17</v>
      </c>
      <c r="F22" s="61">
        <v>15</v>
      </c>
      <c r="G22" s="61"/>
      <c r="H22" s="61"/>
      <c r="I22" s="61"/>
      <c r="J22" s="62"/>
      <c r="K22" s="63"/>
      <c r="L22" s="63"/>
      <c r="M22" s="38"/>
      <c r="N22" s="64"/>
    </row>
    <row r="23" spans="1:14" s="8" customFormat="1" hidden="1" outlineLevel="1" x14ac:dyDescent="0.25">
      <c r="A23" s="1" t="str">
        <f>IF(L23="","",MAX($A$1:$A22)+1)</f>
        <v/>
      </c>
      <c r="B23" s="63"/>
      <c r="C23" s="76"/>
      <c r="D23" s="60" t="s">
        <v>119</v>
      </c>
      <c r="E23" s="61" t="s">
        <v>17</v>
      </c>
      <c r="F23" s="61">
        <f>24.61</f>
        <v>24.61</v>
      </c>
      <c r="G23" s="61"/>
      <c r="H23" s="61"/>
      <c r="I23" s="61"/>
      <c r="J23" s="62"/>
      <c r="K23" s="63"/>
      <c r="L23" s="63"/>
      <c r="M23" s="38"/>
      <c r="N23" s="64"/>
    </row>
    <row r="24" spans="1:14" s="8" customFormat="1" hidden="1" outlineLevel="1" x14ac:dyDescent="0.25">
      <c r="A24" s="1" t="str">
        <f>IF(L24="","",MAX($A$1:$A23)+1)</f>
        <v/>
      </c>
      <c r="B24" s="63"/>
      <c r="C24" s="76"/>
      <c r="D24" s="60" t="s">
        <v>120</v>
      </c>
      <c r="E24" s="61" t="s">
        <v>17</v>
      </c>
      <c r="F24" s="61">
        <f>25.5</f>
        <v>25.5</v>
      </c>
      <c r="G24" s="61"/>
      <c r="H24" s="61"/>
      <c r="I24" s="61"/>
      <c r="J24" s="62"/>
      <c r="K24" s="63"/>
      <c r="L24" s="63"/>
      <c r="M24" s="38"/>
      <c r="N24" s="64"/>
    </row>
    <row r="25" spans="1:14" s="8" customFormat="1" hidden="1" outlineLevel="1" x14ac:dyDescent="0.25">
      <c r="A25" s="1" t="str">
        <f>IF(L25="","",MAX($A$1:$A24)+1)</f>
        <v/>
      </c>
      <c r="B25" s="63"/>
      <c r="C25" s="76"/>
      <c r="D25" s="60"/>
      <c r="E25" s="61"/>
      <c r="F25" s="61">
        <v>5.0199999999999996</v>
      </c>
      <c r="G25" s="61" t="s">
        <v>17</v>
      </c>
      <c r="H25" s="61">
        <f>SUM(F15:F25)</f>
        <v>170</v>
      </c>
      <c r="I25" s="61"/>
      <c r="J25" s="62"/>
      <c r="K25" s="63"/>
      <c r="L25" s="63"/>
      <c r="M25" s="38"/>
      <c r="N25" s="64"/>
    </row>
    <row r="26" spans="1:14" s="8" customFormat="1" hidden="1" outlineLevel="1" x14ac:dyDescent="0.25">
      <c r="A26" s="1" t="str">
        <f>IF(L26="","",MAX($A$1:$A25)+1)</f>
        <v/>
      </c>
      <c r="B26" s="63"/>
      <c r="C26" s="76"/>
      <c r="D26" s="60"/>
      <c r="E26" s="61"/>
      <c r="F26" s="61"/>
      <c r="G26" s="61"/>
      <c r="H26" s="61"/>
      <c r="I26" s="61"/>
      <c r="J26" s="62"/>
      <c r="K26" s="63"/>
      <c r="L26" s="63"/>
      <c r="M26" s="38"/>
      <c r="N26" s="64"/>
    </row>
    <row r="27" spans="1:14" s="8" customFormat="1" hidden="1" outlineLevel="1" x14ac:dyDescent="0.25">
      <c r="A27" s="1" t="str">
        <f>IF(L27="","",MAX($A$1:$A26)+1)</f>
        <v/>
      </c>
      <c r="B27" s="63"/>
      <c r="C27" s="76"/>
      <c r="D27" s="60"/>
      <c r="E27" s="61"/>
      <c r="F27" s="61"/>
      <c r="G27" s="61"/>
      <c r="H27" s="61"/>
      <c r="I27" s="61"/>
      <c r="J27" s="62"/>
      <c r="K27" s="63"/>
      <c r="L27" s="63"/>
      <c r="M27" s="38"/>
      <c r="N27" s="64"/>
    </row>
    <row r="28" spans="1:14" hidden="1" outlineLevel="1" x14ac:dyDescent="0.25">
      <c r="A28" s="1" t="str">
        <f>IF(L28="","",MAX($A$1:$A27)+1)</f>
        <v/>
      </c>
      <c r="B28" s="37"/>
      <c r="C28" s="76"/>
      <c r="D28" s="34"/>
      <c r="E28" s="35"/>
      <c r="F28" s="35"/>
      <c r="G28" s="35" t="s">
        <v>17</v>
      </c>
      <c r="H28" s="35">
        <f>SUM(F15:F28)</f>
        <v>170</v>
      </c>
      <c r="I28" s="35"/>
      <c r="J28" s="36"/>
      <c r="K28" s="37"/>
      <c r="L28" s="37"/>
      <c r="M28" s="38"/>
      <c r="N28" s="27"/>
    </row>
    <row r="29" spans="1:14" collapsed="1" x14ac:dyDescent="0.25">
      <c r="A29" s="1">
        <f>IF(L29="","",MAX($A$1:$A28)+1)</f>
        <v>4</v>
      </c>
      <c r="B29" s="12" t="s">
        <v>165</v>
      </c>
      <c r="C29" s="84" t="s">
        <v>23</v>
      </c>
      <c r="D29" s="34"/>
      <c r="E29" s="35"/>
      <c r="F29" s="35"/>
      <c r="G29" s="35"/>
      <c r="H29" s="35"/>
      <c r="I29" s="35"/>
      <c r="J29" s="35"/>
      <c r="K29" s="12" t="s">
        <v>4</v>
      </c>
      <c r="L29" s="12">
        <v>1</v>
      </c>
      <c r="M29" s="13"/>
      <c r="N29" s="13">
        <f>M29*L29</f>
        <v>0</v>
      </c>
    </row>
    <row r="30" spans="1:14" x14ac:dyDescent="0.25">
      <c r="A30" s="1" t="str">
        <f>IF(L30="","",MAX($A$1:$A29)+1)</f>
        <v/>
      </c>
      <c r="B30" s="12"/>
      <c r="C30" s="68"/>
      <c r="D30" s="34"/>
      <c r="E30" s="35"/>
      <c r="F30" s="35"/>
      <c r="G30" s="35"/>
      <c r="H30" s="35"/>
      <c r="I30" s="35"/>
      <c r="J30" s="35"/>
      <c r="K30" s="12"/>
      <c r="L30" s="12"/>
      <c r="M30" s="13"/>
      <c r="N30" s="13"/>
    </row>
    <row r="31" spans="1:14" x14ac:dyDescent="0.25">
      <c r="A31" s="1" t="str">
        <f>IF(L31="","",MAX($A$1:$A30)+1)</f>
        <v/>
      </c>
      <c r="B31" s="37"/>
      <c r="C31" s="76" t="s">
        <v>24</v>
      </c>
      <c r="D31" s="34"/>
      <c r="E31" s="35"/>
      <c r="F31" s="35"/>
      <c r="G31" s="35"/>
      <c r="H31" s="35"/>
      <c r="I31" s="35"/>
      <c r="J31" s="36"/>
      <c r="K31" s="37"/>
      <c r="L31" s="37"/>
      <c r="M31" s="13"/>
      <c r="N31" s="27"/>
    </row>
    <row r="32" spans="1:14" hidden="1" outlineLevel="1" x14ac:dyDescent="0.25">
      <c r="A32" s="1" t="str">
        <f>IF(L32="","",MAX($A$1:$A31)+1)</f>
        <v/>
      </c>
      <c r="B32" s="37"/>
      <c r="C32" s="76"/>
      <c r="D32" s="34" t="s">
        <v>70</v>
      </c>
      <c r="E32" s="35"/>
      <c r="F32" s="35"/>
      <c r="G32" s="35"/>
      <c r="H32" s="35"/>
      <c r="I32" s="35"/>
      <c r="J32" s="36"/>
      <c r="K32" s="37"/>
      <c r="L32" s="37"/>
      <c r="M32" s="38"/>
      <c r="N32" s="27"/>
    </row>
    <row r="33" spans="1:14" hidden="1" outlineLevel="2" x14ac:dyDescent="0.25">
      <c r="A33" s="1" t="str">
        <f>IF(L33="","",MAX($A$1:$A32)+1)</f>
        <v/>
      </c>
      <c r="B33" s="37"/>
      <c r="C33" s="86" t="s">
        <v>71</v>
      </c>
      <c r="D33" s="34"/>
      <c r="E33" s="35"/>
      <c r="F33" s="35"/>
      <c r="G33" s="35"/>
      <c r="H33" s="35"/>
      <c r="I33" s="35"/>
      <c r="J33" s="36"/>
      <c r="K33" s="37"/>
      <c r="L33" s="37"/>
      <c r="M33" s="38"/>
      <c r="N33" s="27"/>
    </row>
    <row r="34" spans="1:14" hidden="1" outlineLevel="2" x14ac:dyDescent="0.25">
      <c r="A34" s="1" t="str">
        <f>IF(L34="","",MAX($A$1:$A33)+1)</f>
        <v/>
      </c>
      <c r="B34" s="37"/>
      <c r="C34" s="76"/>
      <c r="D34" s="34" t="s">
        <v>72</v>
      </c>
      <c r="E34" s="35"/>
      <c r="F34" s="35"/>
      <c r="G34" s="35"/>
      <c r="H34" s="35"/>
      <c r="I34" s="35"/>
      <c r="J34" s="36"/>
      <c r="K34" s="37"/>
      <c r="L34" s="37"/>
      <c r="M34" s="38"/>
      <c r="N34" s="27"/>
    </row>
    <row r="35" spans="1:14" hidden="1" outlineLevel="2" x14ac:dyDescent="0.25">
      <c r="A35" s="1" t="str">
        <f>IF(L35="","",MAX($A$1:$A34)+1)</f>
        <v/>
      </c>
      <c r="B35" s="37"/>
      <c r="C35" s="76"/>
      <c r="D35" s="52" t="s">
        <v>73</v>
      </c>
      <c r="E35" s="35" t="s">
        <v>17</v>
      </c>
      <c r="F35" s="51">
        <f>4*6.75*0.2*0.1</f>
        <v>0.54</v>
      </c>
      <c r="G35" s="35"/>
      <c r="H35" s="35"/>
      <c r="I35" s="35"/>
      <c r="J35" s="36"/>
      <c r="K35" s="37"/>
      <c r="L35" s="37"/>
      <c r="M35" s="38"/>
      <c r="N35" s="27"/>
    </row>
    <row r="36" spans="1:14" hidden="1" outlineLevel="2" x14ac:dyDescent="0.25">
      <c r="A36" s="1" t="str">
        <f>IF(L36="","",MAX($A$1:$A35)+1)</f>
        <v/>
      </c>
      <c r="B36" s="37"/>
      <c r="C36" s="76"/>
      <c r="D36" s="52" t="s">
        <v>74</v>
      </c>
      <c r="E36" s="35" t="s">
        <v>17</v>
      </c>
      <c r="F36" s="51">
        <f>4*6.05*0.25*0.1</f>
        <v>0.60499999999999998</v>
      </c>
      <c r="G36" s="35"/>
      <c r="H36" s="35"/>
      <c r="I36" s="35"/>
      <c r="J36" s="36"/>
      <c r="K36" s="37"/>
      <c r="L36" s="37"/>
      <c r="M36" s="38"/>
      <c r="N36" s="27"/>
    </row>
    <row r="37" spans="1:14" hidden="1" outlineLevel="2" x14ac:dyDescent="0.25">
      <c r="A37" s="1" t="str">
        <f>IF(L37="","",MAX($A$1:$A36)+1)</f>
        <v/>
      </c>
      <c r="B37" s="37"/>
      <c r="C37" s="76"/>
      <c r="D37" s="52" t="s">
        <v>75</v>
      </c>
      <c r="E37" s="35" t="s">
        <v>17</v>
      </c>
      <c r="F37" s="51">
        <f>2*7.6*0.2*0.175</f>
        <v>0.53200000000000003</v>
      </c>
      <c r="G37" s="35"/>
      <c r="H37" s="35"/>
      <c r="I37" s="35"/>
      <c r="J37" s="36"/>
      <c r="K37" s="37"/>
      <c r="L37" s="37"/>
      <c r="M37" s="38"/>
      <c r="N37" s="27"/>
    </row>
    <row r="38" spans="1:14" hidden="1" outlineLevel="2" x14ac:dyDescent="0.25">
      <c r="A38" s="1" t="str">
        <f>IF(L38="","",MAX($A$1:$A37)+1)</f>
        <v/>
      </c>
      <c r="B38" s="37"/>
      <c r="C38" s="76"/>
      <c r="D38" s="52" t="s">
        <v>76</v>
      </c>
      <c r="E38" s="35" t="s">
        <v>17</v>
      </c>
      <c r="F38" s="51">
        <f>2.25*0.2*0.35</f>
        <v>0.158</v>
      </c>
      <c r="G38" s="35"/>
      <c r="H38" s="35"/>
      <c r="I38" s="35"/>
      <c r="J38" s="36"/>
      <c r="K38" s="37"/>
      <c r="L38" s="37"/>
      <c r="M38" s="38"/>
      <c r="N38" s="27"/>
    </row>
    <row r="39" spans="1:14" hidden="1" outlineLevel="2" x14ac:dyDescent="0.25">
      <c r="A39" s="1" t="str">
        <f>IF(L39="","",MAX($A$1:$A38)+1)</f>
        <v/>
      </c>
      <c r="B39" s="37"/>
      <c r="C39" s="76"/>
      <c r="D39" s="52" t="s">
        <v>77</v>
      </c>
      <c r="E39" s="35" t="s">
        <v>17</v>
      </c>
      <c r="F39" s="51">
        <f>2*5.3*0.2*0.175</f>
        <v>0.371</v>
      </c>
      <c r="G39" s="35"/>
      <c r="H39" s="35"/>
      <c r="I39" s="35"/>
      <c r="J39" s="36"/>
      <c r="K39" s="37"/>
      <c r="L39" s="37"/>
      <c r="M39" s="38"/>
      <c r="N39" s="27"/>
    </row>
    <row r="40" spans="1:14" hidden="1" outlineLevel="2" x14ac:dyDescent="0.25">
      <c r="A40" s="1" t="str">
        <f>IF(L40="","",MAX($A$1:$A39)+1)</f>
        <v/>
      </c>
      <c r="B40" s="37"/>
      <c r="C40" s="76"/>
      <c r="D40" s="52" t="s">
        <v>78</v>
      </c>
      <c r="E40" s="35" t="s">
        <v>17</v>
      </c>
      <c r="F40" s="51">
        <f>2*5.15*0.2*0.2</f>
        <v>0.41199999999999998</v>
      </c>
      <c r="G40" s="35"/>
      <c r="H40" s="35"/>
      <c r="I40" s="35"/>
      <c r="J40" s="36"/>
      <c r="K40" s="37"/>
      <c r="L40" s="37"/>
      <c r="M40" s="38"/>
      <c r="N40" s="27"/>
    </row>
    <row r="41" spans="1:14" hidden="1" outlineLevel="2" x14ac:dyDescent="0.25">
      <c r="A41" s="1" t="str">
        <f>IF(L41="","",MAX($A$1:$A40)+1)</f>
        <v/>
      </c>
      <c r="B41" s="37"/>
      <c r="C41" s="76"/>
      <c r="D41" s="52" t="s">
        <v>79</v>
      </c>
      <c r="E41" s="35" t="s">
        <v>17</v>
      </c>
      <c r="F41" s="51">
        <f>2*2.8*0.15*0.08</f>
        <v>6.7000000000000004E-2</v>
      </c>
      <c r="G41" s="35"/>
      <c r="H41" s="35"/>
      <c r="I41" s="35"/>
      <c r="J41" s="36"/>
      <c r="K41" s="37"/>
      <c r="L41" s="37"/>
      <c r="M41" s="38"/>
      <c r="N41" s="27"/>
    </row>
    <row r="42" spans="1:14" hidden="1" outlineLevel="2" x14ac:dyDescent="0.25">
      <c r="A42" s="1" t="str">
        <f>IF(L42="","",MAX($A$1:$A41)+1)</f>
        <v/>
      </c>
      <c r="B42" s="37"/>
      <c r="C42" s="76"/>
      <c r="D42" s="52" t="s">
        <v>80</v>
      </c>
      <c r="E42" s="35" t="s">
        <v>17</v>
      </c>
      <c r="F42" s="51">
        <f>4*1.5*0.2*0.175</f>
        <v>0.21</v>
      </c>
      <c r="G42" s="35"/>
      <c r="H42" s="35"/>
      <c r="I42" s="35"/>
      <c r="J42" s="36"/>
      <c r="K42" s="37"/>
      <c r="L42" s="37"/>
      <c r="M42" s="38"/>
      <c r="N42" s="27"/>
    </row>
    <row r="43" spans="1:14" hidden="1" outlineLevel="2" x14ac:dyDescent="0.25">
      <c r="A43" s="1" t="str">
        <f>IF(L43="","",MAX($A$1:$A42)+1)</f>
        <v/>
      </c>
      <c r="B43" s="37"/>
      <c r="C43" s="76"/>
      <c r="D43" s="52" t="s">
        <v>81</v>
      </c>
      <c r="E43" s="35" t="s">
        <v>17</v>
      </c>
      <c r="F43" s="51">
        <f>4*7.1*0.2*0.2</f>
        <v>1.1359999999999999</v>
      </c>
      <c r="G43" s="35"/>
      <c r="H43" s="35"/>
      <c r="I43" s="35"/>
      <c r="J43" s="36"/>
      <c r="K43" s="37"/>
      <c r="L43" s="37"/>
      <c r="M43" s="38"/>
      <c r="N43" s="27"/>
    </row>
    <row r="44" spans="1:14" ht="22.5" hidden="1" outlineLevel="2" x14ac:dyDescent="0.25">
      <c r="A44" s="1" t="str">
        <f>IF(L44="","",MAX($A$1:$A43)+1)</f>
        <v/>
      </c>
      <c r="B44" s="37"/>
      <c r="C44" s="76"/>
      <c r="D44" s="65" t="s">
        <v>82</v>
      </c>
      <c r="E44" s="35" t="s">
        <v>17</v>
      </c>
      <c r="F44" s="51">
        <f>4*1.9*0.2*0.2</f>
        <v>0.30399999999999999</v>
      </c>
      <c r="G44" s="35"/>
      <c r="H44" s="35"/>
      <c r="I44" s="35"/>
      <c r="J44" s="36"/>
      <c r="K44" s="37"/>
      <c r="L44" s="37"/>
      <c r="M44" s="38"/>
      <c r="N44" s="27"/>
    </row>
    <row r="45" spans="1:14" ht="22.5" hidden="1" outlineLevel="2" x14ac:dyDescent="0.25">
      <c r="A45" s="1" t="str">
        <f>IF(L45="","",MAX($A$1:$A44)+1)</f>
        <v/>
      </c>
      <c r="B45" s="37"/>
      <c r="C45" s="76"/>
      <c r="D45" s="65" t="s">
        <v>83</v>
      </c>
      <c r="E45" s="35" t="s">
        <v>17</v>
      </c>
      <c r="F45" s="51">
        <f>4*1*0.2*0.2</f>
        <v>0.16</v>
      </c>
      <c r="G45" s="35"/>
      <c r="H45" s="35"/>
      <c r="I45" s="35"/>
      <c r="J45" s="36"/>
      <c r="K45" s="37"/>
      <c r="L45" s="37"/>
      <c r="M45" s="38"/>
      <c r="N45" s="27"/>
    </row>
    <row r="46" spans="1:14" hidden="1" outlineLevel="2" x14ac:dyDescent="0.25">
      <c r="A46" s="1" t="str">
        <f>IF(L46="","",MAX($A$1:$A45)+1)</f>
        <v/>
      </c>
      <c r="B46" s="37"/>
      <c r="C46" s="76"/>
      <c r="D46" s="52" t="s">
        <v>84</v>
      </c>
      <c r="E46" s="35"/>
      <c r="F46" s="51"/>
      <c r="G46" s="35"/>
      <c r="H46" s="35"/>
      <c r="I46" s="35"/>
      <c r="J46" s="36"/>
      <c r="K46" s="37"/>
      <c r="L46" s="37"/>
      <c r="M46" s="38"/>
      <c r="N46" s="27"/>
    </row>
    <row r="47" spans="1:14" hidden="1" outlineLevel="2" x14ac:dyDescent="0.25">
      <c r="A47" s="1" t="str">
        <f>IF(L47="","",MAX($A$1:$A46)+1)</f>
        <v/>
      </c>
      <c r="B47" s="37"/>
      <c r="C47" s="76"/>
      <c r="D47" s="52" t="s">
        <v>73</v>
      </c>
      <c r="E47" s="35" t="s">
        <v>17</v>
      </c>
      <c r="F47" s="51">
        <f>4*6.4*0.2*0.1</f>
        <v>0.51200000000000001</v>
      </c>
      <c r="G47" s="35"/>
      <c r="H47" s="35"/>
      <c r="I47" s="35"/>
      <c r="J47" s="36"/>
      <c r="K47" s="37"/>
      <c r="L47" s="37"/>
      <c r="M47" s="38"/>
      <c r="N47" s="27"/>
    </row>
    <row r="48" spans="1:14" hidden="1" outlineLevel="2" x14ac:dyDescent="0.25">
      <c r="A48" s="1" t="str">
        <f>IF(L48="","",MAX($A$1:$A47)+1)</f>
        <v/>
      </c>
      <c r="B48" s="37"/>
      <c r="C48" s="76"/>
      <c r="D48" s="52" t="s">
        <v>74</v>
      </c>
      <c r="E48" s="35" t="s">
        <v>17</v>
      </c>
      <c r="F48" s="51">
        <f>4*5.6*0.25*0.1</f>
        <v>0.56000000000000005</v>
      </c>
      <c r="G48" s="35"/>
      <c r="H48" s="35"/>
      <c r="I48" s="35"/>
      <c r="J48" s="36"/>
      <c r="K48" s="37"/>
      <c r="L48" s="37"/>
      <c r="M48" s="38"/>
      <c r="N48" s="27"/>
    </row>
    <row r="49" spans="1:14" hidden="1" outlineLevel="2" x14ac:dyDescent="0.25">
      <c r="A49" s="1" t="str">
        <f>IF(L49="","",MAX($A$1:$A48)+1)</f>
        <v/>
      </c>
      <c r="B49" s="37"/>
      <c r="C49" s="76"/>
      <c r="D49" s="52" t="s">
        <v>75</v>
      </c>
      <c r="E49" s="35" t="s">
        <v>17</v>
      </c>
      <c r="F49" s="51">
        <f>2*6.4*0.2*0.175</f>
        <v>0.44800000000000001</v>
      </c>
      <c r="G49" s="35"/>
      <c r="H49" s="35"/>
      <c r="I49" s="35"/>
      <c r="J49" s="36"/>
      <c r="K49" s="37"/>
      <c r="L49" s="37"/>
      <c r="M49" s="38"/>
      <c r="N49" s="27"/>
    </row>
    <row r="50" spans="1:14" hidden="1" outlineLevel="2" x14ac:dyDescent="0.25">
      <c r="A50" s="1" t="str">
        <f>IF(L50="","",MAX($A$1:$A49)+1)</f>
        <v/>
      </c>
      <c r="B50" s="37"/>
      <c r="C50" s="76"/>
      <c r="D50" s="52" t="s">
        <v>77</v>
      </c>
      <c r="E50" s="35" t="s">
        <v>17</v>
      </c>
      <c r="F50" s="51">
        <f>2*3.6*0.2*0.175</f>
        <v>0.252</v>
      </c>
      <c r="G50" s="35"/>
      <c r="H50" s="35"/>
      <c r="I50" s="35"/>
      <c r="J50" s="36"/>
      <c r="K50" s="37"/>
      <c r="L50" s="37"/>
      <c r="M50" s="38"/>
      <c r="N50" s="27"/>
    </row>
    <row r="51" spans="1:14" hidden="1" outlineLevel="2" x14ac:dyDescent="0.25">
      <c r="A51" s="1" t="str">
        <f>IF(L51="","",MAX($A$1:$A50)+1)</f>
        <v/>
      </c>
      <c r="B51" s="37"/>
      <c r="C51" s="76"/>
      <c r="D51" s="52" t="s">
        <v>85</v>
      </c>
      <c r="E51" s="35" t="s">
        <v>17</v>
      </c>
      <c r="F51" s="51">
        <f>2*5.2*0.2*0.2</f>
        <v>0.41599999999999998</v>
      </c>
      <c r="G51" s="35"/>
      <c r="H51" s="35"/>
      <c r="I51" s="35"/>
      <c r="J51" s="36"/>
      <c r="K51" s="37"/>
      <c r="L51" s="37"/>
      <c r="M51" s="38"/>
      <c r="N51" s="27"/>
    </row>
    <row r="52" spans="1:14" hidden="1" outlineLevel="2" x14ac:dyDescent="0.25">
      <c r="A52" s="1" t="str">
        <f>IF(L52="","",MAX($A$1:$A51)+1)</f>
        <v/>
      </c>
      <c r="B52" s="37"/>
      <c r="C52" s="76"/>
      <c r="D52" s="52" t="s">
        <v>86</v>
      </c>
      <c r="E52" s="35" t="s">
        <v>17</v>
      </c>
      <c r="F52" s="51">
        <f>1*4.2*0.2*0.1</f>
        <v>8.4000000000000005E-2</v>
      </c>
      <c r="G52" s="35"/>
      <c r="H52" s="35"/>
      <c r="I52" s="35"/>
      <c r="J52" s="36"/>
      <c r="K52" s="37"/>
      <c r="L52" s="37"/>
      <c r="M52" s="38"/>
      <c r="N52" s="27"/>
    </row>
    <row r="53" spans="1:14" hidden="1" outlineLevel="2" x14ac:dyDescent="0.25">
      <c r="A53" s="1" t="str">
        <f>IF(L53="","",MAX($A$1:$A52)+1)</f>
        <v/>
      </c>
      <c r="B53" s="37"/>
      <c r="C53" s="76"/>
      <c r="D53" s="52" t="s">
        <v>80</v>
      </c>
      <c r="E53" s="35" t="s">
        <v>17</v>
      </c>
      <c r="F53" s="51">
        <f>2*1.5*0.2*0.175</f>
        <v>0.105</v>
      </c>
      <c r="G53" s="35"/>
      <c r="H53" s="35"/>
      <c r="I53" s="35"/>
      <c r="J53" s="36"/>
      <c r="K53" s="37"/>
      <c r="L53" s="37"/>
      <c r="M53" s="38"/>
      <c r="N53" s="27"/>
    </row>
    <row r="54" spans="1:14" hidden="1" outlineLevel="2" x14ac:dyDescent="0.25">
      <c r="A54" s="1" t="str">
        <f>IF(L54="","",MAX($A$1:$A53)+1)</f>
        <v/>
      </c>
      <c r="B54" s="37"/>
      <c r="C54" s="76"/>
      <c r="D54" s="52" t="s">
        <v>87</v>
      </c>
      <c r="E54" s="35" t="s">
        <v>17</v>
      </c>
      <c r="F54" s="35">
        <f>2*2.8*0.2*0.175</f>
        <v>0.19600000000000001</v>
      </c>
      <c r="G54" s="35"/>
      <c r="H54" s="35"/>
      <c r="I54" s="35"/>
      <c r="J54" s="36"/>
      <c r="K54" s="37"/>
      <c r="L54" s="37"/>
      <c r="M54" s="38"/>
      <c r="N54" s="27"/>
    </row>
    <row r="55" spans="1:14" hidden="1" outlineLevel="2" x14ac:dyDescent="0.25">
      <c r="A55" s="1" t="str">
        <f>IF(L55="","",MAX($A$1:$A54)+1)</f>
        <v/>
      </c>
      <c r="B55" s="37"/>
      <c r="C55" s="76"/>
      <c r="D55" s="52" t="s">
        <v>121</v>
      </c>
      <c r="E55" s="35" t="s">
        <v>17</v>
      </c>
      <c r="F55" s="35">
        <f>2*1.1*0.2*0.1</f>
        <v>4.3999999999999997E-2</v>
      </c>
      <c r="G55" s="35"/>
      <c r="H55" s="35"/>
      <c r="I55" s="35"/>
      <c r="J55" s="36"/>
      <c r="K55" s="37"/>
      <c r="L55" s="37"/>
      <c r="M55" s="38"/>
      <c r="N55" s="27"/>
    </row>
    <row r="56" spans="1:14" hidden="1" outlineLevel="2" x14ac:dyDescent="0.25">
      <c r="A56" s="1" t="str">
        <f>IF(L56="","",MAX($A$1:$A55)+1)</f>
        <v/>
      </c>
      <c r="B56" s="37"/>
      <c r="C56" s="76"/>
      <c r="D56" s="52"/>
      <c r="E56" s="35" t="s">
        <v>17</v>
      </c>
      <c r="F56" s="51">
        <f>2*4.81*0.2*0.1</f>
        <v>0.192</v>
      </c>
      <c r="G56" s="35"/>
      <c r="H56" s="35"/>
      <c r="I56" s="35"/>
      <c r="J56" s="36"/>
      <c r="K56" s="37"/>
      <c r="L56" s="37"/>
      <c r="M56" s="38"/>
      <c r="N56" s="27"/>
    </row>
    <row r="57" spans="1:14" hidden="1" outlineLevel="2" x14ac:dyDescent="0.25">
      <c r="A57" s="1" t="str">
        <f>IF(L57="","",MAX($A$1:$A56)+1)</f>
        <v/>
      </c>
      <c r="B57" s="37"/>
      <c r="C57" s="76"/>
      <c r="D57" s="52"/>
      <c r="E57" s="35" t="s">
        <v>17</v>
      </c>
      <c r="F57" s="35">
        <v>-4.0000000000000001E-3</v>
      </c>
      <c r="G57" s="35" t="s">
        <v>17</v>
      </c>
      <c r="H57" s="51">
        <f>SUM(F35:F57)</f>
        <v>7.3</v>
      </c>
      <c r="I57" s="35"/>
      <c r="J57" s="36"/>
      <c r="K57" s="37"/>
      <c r="L57" s="37"/>
      <c r="M57" s="38"/>
      <c r="N57" s="27"/>
    </row>
    <row r="58" spans="1:14" hidden="1" outlineLevel="2" x14ac:dyDescent="0.25">
      <c r="A58" s="1" t="str">
        <f>IF(L58="","",MAX($A$1:$A57)+1)</f>
        <v/>
      </c>
      <c r="B58" s="37"/>
      <c r="C58" s="76"/>
      <c r="D58" s="34"/>
      <c r="E58" s="35"/>
      <c r="F58" s="35"/>
      <c r="G58" s="35"/>
      <c r="H58" s="35"/>
      <c r="I58" s="35"/>
      <c r="J58" s="36"/>
      <c r="K58" s="37"/>
      <c r="L58" s="37"/>
      <c r="M58" s="38"/>
      <c r="N58" s="27"/>
    </row>
    <row r="59" spans="1:14" hidden="1" outlineLevel="2" x14ac:dyDescent="0.25">
      <c r="A59" s="1" t="str">
        <f>IF(L59="","",MAX($A$1:$A58)+1)</f>
        <v/>
      </c>
      <c r="B59" s="37"/>
      <c r="C59" s="86" t="s">
        <v>122</v>
      </c>
      <c r="D59" s="34" t="s">
        <v>123</v>
      </c>
      <c r="E59" s="35" t="s">
        <v>17</v>
      </c>
      <c r="F59" s="51">
        <f>(4.5+5.05+2.35+3+1.1)*0.2*0.3+(3*4.2+3.6+5*5.35+2.1*2+7*1)*0.1*0.1+2*0.7*0.2*0.2</f>
        <v>1.5580000000000001</v>
      </c>
      <c r="G59" s="51" t="s">
        <v>17</v>
      </c>
      <c r="H59" s="51">
        <f>F59</f>
        <v>1.5580000000000001</v>
      </c>
      <c r="I59" s="35"/>
      <c r="J59" s="36"/>
      <c r="K59" s="37"/>
      <c r="L59" s="37"/>
      <c r="M59" s="38"/>
      <c r="N59" s="27"/>
    </row>
    <row r="60" spans="1:14" hidden="1" outlineLevel="2" x14ac:dyDescent="0.25">
      <c r="A60" s="1" t="str">
        <f>IF(L60="","",MAX($A$1:$A59)+1)</f>
        <v/>
      </c>
      <c r="B60" s="37"/>
      <c r="C60" s="86" t="s">
        <v>124</v>
      </c>
      <c r="D60" s="34" t="s">
        <v>125</v>
      </c>
      <c r="E60" s="35" t="s">
        <v>17</v>
      </c>
      <c r="F60" s="51">
        <f>(2*5.6)*0.2*0.3+(7*2.18+5*0.75+12*3.3)*0.1*0.1+3*0.65*0.2*0.2</f>
        <v>1.3360000000000001</v>
      </c>
      <c r="G60" s="51" t="s">
        <v>17</v>
      </c>
      <c r="H60" s="51">
        <f>F60</f>
        <v>1.3360000000000001</v>
      </c>
      <c r="I60" s="35"/>
      <c r="J60" s="36"/>
      <c r="K60" s="37"/>
      <c r="L60" s="37"/>
      <c r="M60" s="38"/>
      <c r="N60" s="27"/>
    </row>
    <row r="61" spans="1:14" hidden="1" outlineLevel="2" x14ac:dyDescent="0.25">
      <c r="A61" s="1" t="str">
        <f>IF(L61="","",MAX($A$1:$A60)+1)</f>
        <v/>
      </c>
      <c r="B61" s="37"/>
      <c r="C61" s="86" t="s">
        <v>126</v>
      </c>
      <c r="D61" s="34"/>
      <c r="E61" s="35" t="s">
        <v>17</v>
      </c>
      <c r="F61" s="51">
        <f>2.5*0.25*0.25</f>
        <v>0.156</v>
      </c>
      <c r="G61" s="51" t="s">
        <v>17</v>
      </c>
      <c r="H61" s="51">
        <f>F61</f>
        <v>0.156</v>
      </c>
      <c r="I61" s="35"/>
      <c r="J61" s="36"/>
      <c r="K61" s="37"/>
      <c r="L61" s="37"/>
      <c r="M61" s="38"/>
      <c r="N61" s="27"/>
    </row>
    <row r="62" spans="1:14" hidden="1" outlineLevel="2" x14ac:dyDescent="0.25">
      <c r="A62" s="1" t="str">
        <f>IF(L62="","",MAX($A$1:$A61)+1)</f>
        <v/>
      </c>
      <c r="B62" s="37"/>
      <c r="C62" s="86" t="s">
        <v>127</v>
      </c>
      <c r="D62" s="34"/>
      <c r="E62" s="35" t="s">
        <v>17</v>
      </c>
      <c r="F62" s="51">
        <f>3*0.25*0.25</f>
        <v>0.188</v>
      </c>
      <c r="G62" s="35" t="s">
        <v>17</v>
      </c>
      <c r="H62" s="51">
        <f>F62</f>
        <v>0.188</v>
      </c>
      <c r="I62" s="35"/>
      <c r="J62" s="36"/>
      <c r="K62" s="37"/>
      <c r="L62" s="37"/>
      <c r="M62" s="38"/>
      <c r="N62" s="27"/>
    </row>
    <row r="63" spans="1:14" ht="22.5" hidden="1" outlineLevel="2" x14ac:dyDescent="0.25">
      <c r="A63" s="1" t="str">
        <f>IF(L63="","",MAX($A$1:$A62)+1)</f>
        <v/>
      </c>
      <c r="B63" s="37"/>
      <c r="C63" s="66" t="s">
        <v>128</v>
      </c>
      <c r="D63" s="34"/>
      <c r="E63" s="35" t="s">
        <v>17</v>
      </c>
      <c r="F63" s="51">
        <v>5</v>
      </c>
      <c r="G63" s="35" t="s">
        <v>17</v>
      </c>
      <c r="H63" s="51">
        <f>5</f>
        <v>5</v>
      </c>
      <c r="I63" s="35"/>
      <c r="J63" s="36"/>
      <c r="K63" s="37"/>
      <c r="L63" s="37"/>
      <c r="M63" s="38"/>
      <c r="N63" s="27"/>
    </row>
    <row r="64" spans="1:14" hidden="1" outlineLevel="2" x14ac:dyDescent="0.25">
      <c r="A64" s="1" t="str">
        <f>IF(L64="","",MAX($A$1:$A63)+1)</f>
        <v/>
      </c>
      <c r="B64" s="37"/>
      <c r="C64" s="76"/>
      <c r="D64" s="34"/>
      <c r="E64" s="35"/>
      <c r="F64" s="35"/>
      <c r="G64" s="35"/>
      <c r="H64" s="35">
        <v>6.2E-2</v>
      </c>
      <c r="I64" s="35" t="s">
        <v>17</v>
      </c>
      <c r="J64" s="56">
        <f>SUM(H57:H64)</f>
        <v>15.6</v>
      </c>
      <c r="K64" s="37"/>
      <c r="L64" s="37"/>
      <c r="M64" s="38"/>
      <c r="N64" s="27"/>
    </row>
    <row r="65" spans="1:14" collapsed="1" x14ac:dyDescent="0.25">
      <c r="A65" s="1">
        <f>IF(L65="","",MAX($A$1:$A64)+1)</f>
        <v>5</v>
      </c>
      <c r="B65" s="12" t="s">
        <v>167</v>
      </c>
      <c r="C65" s="46" t="s">
        <v>39</v>
      </c>
      <c r="D65" s="34"/>
      <c r="E65" s="35"/>
      <c r="F65" s="35"/>
      <c r="G65" s="35"/>
      <c r="H65" s="35"/>
      <c r="I65" s="35"/>
      <c r="J65" s="36"/>
      <c r="K65" s="37" t="s">
        <v>4</v>
      </c>
      <c r="L65" s="37">
        <v>1</v>
      </c>
      <c r="M65" s="38"/>
      <c r="N65" s="13">
        <f>M65*L65</f>
        <v>0</v>
      </c>
    </row>
    <row r="66" spans="1:14" x14ac:dyDescent="0.25">
      <c r="A66" s="1">
        <f>IF(L66="","",MAX($A$1:$A65)+1)</f>
        <v>6</v>
      </c>
      <c r="B66" s="12" t="s">
        <v>167</v>
      </c>
      <c r="C66" s="46" t="s">
        <v>41</v>
      </c>
      <c r="D66" s="34"/>
      <c r="E66" s="35"/>
      <c r="F66" s="35"/>
      <c r="G66" s="35"/>
      <c r="H66" s="35"/>
      <c r="I66" s="35"/>
      <c r="J66" s="36"/>
      <c r="K66" s="37" t="s">
        <v>40</v>
      </c>
      <c r="L66" s="53">
        <v>15.6</v>
      </c>
      <c r="M66" s="38"/>
      <c r="N66" s="13">
        <f>M66*L66</f>
        <v>0</v>
      </c>
    </row>
    <row r="67" spans="1:14" x14ac:dyDescent="0.25">
      <c r="A67" s="1">
        <f>IF(L67="","",MAX($A$1:$A66)+1)</f>
        <v>7</v>
      </c>
      <c r="B67" s="12" t="s">
        <v>167</v>
      </c>
      <c r="C67" s="46" t="s">
        <v>53</v>
      </c>
      <c r="D67" s="34"/>
      <c r="E67" s="35"/>
      <c r="F67" s="35"/>
      <c r="G67" s="35"/>
      <c r="H67" s="35"/>
      <c r="I67" s="35"/>
      <c r="J67" s="36"/>
      <c r="K67" s="37" t="s">
        <v>5</v>
      </c>
      <c r="L67" s="40">
        <v>32</v>
      </c>
      <c r="M67" s="38"/>
      <c r="N67" s="13">
        <f>M67*L67</f>
        <v>0</v>
      </c>
    </row>
    <row r="68" spans="1:14" hidden="1" outlineLevel="1" x14ac:dyDescent="0.25">
      <c r="A68" s="1" t="str">
        <f>IF(L68="","",MAX($A$1:$A67)+1)</f>
        <v/>
      </c>
      <c r="B68" s="37"/>
      <c r="C68" s="46"/>
      <c r="D68" s="34" t="s">
        <v>129</v>
      </c>
      <c r="E68" s="35" t="s">
        <v>17</v>
      </c>
      <c r="F68" s="35">
        <f>2*(3+2.25)</f>
        <v>10.5</v>
      </c>
      <c r="G68" s="35"/>
      <c r="H68" s="35"/>
      <c r="I68" s="35"/>
      <c r="J68" s="36"/>
      <c r="K68" s="37"/>
      <c r="L68" s="40"/>
      <c r="M68" s="38"/>
      <c r="N68" s="27"/>
    </row>
    <row r="69" spans="1:14" hidden="1" outlineLevel="1" x14ac:dyDescent="0.25">
      <c r="A69" s="1" t="str">
        <f>IF(L69="","",MAX($A$1:$A68)+1)</f>
        <v/>
      </c>
      <c r="B69" s="37"/>
      <c r="C69" s="46"/>
      <c r="D69" s="34" t="s">
        <v>130</v>
      </c>
      <c r="E69" s="35" t="s">
        <v>17</v>
      </c>
      <c r="F69" s="35">
        <f>2.5+2.1+2*(2.2+3)+0.4+1.4</f>
        <v>16.8</v>
      </c>
      <c r="G69" s="35"/>
      <c r="H69" s="35"/>
      <c r="I69" s="35"/>
      <c r="J69" s="36"/>
      <c r="K69" s="37"/>
      <c r="L69" s="40"/>
      <c r="M69" s="38"/>
      <c r="N69" s="27"/>
    </row>
    <row r="70" spans="1:14" hidden="1" outlineLevel="1" x14ac:dyDescent="0.25">
      <c r="A70" s="1" t="str">
        <f>IF(L70="","",MAX($A$1:$A69)+1)</f>
        <v/>
      </c>
      <c r="B70" s="37"/>
      <c r="C70" s="46"/>
      <c r="D70" s="34" t="s">
        <v>131</v>
      </c>
      <c r="E70" s="35" t="s">
        <v>17</v>
      </c>
      <c r="F70" s="35">
        <f>1.5+4*0.7</f>
        <v>4.3</v>
      </c>
      <c r="G70" s="35"/>
      <c r="H70" s="35"/>
      <c r="I70" s="35"/>
      <c r="J70" s="36"/>
      <c r="K70" s="37"/>
      <c r="L70" s="40"/>
      <c r="M70" s="38"/>
      <c r="N70" s="27"/>
    </row>
    <row r="71" spans="1:14" hidden="1" outlineLevel="1" x14ac:dyDescent="0.25">
      <c r="A71" s="1" t="str">
        <f>IF(L71="","",MAX($A$1:$A70)+1)</f>
        <v/>
      </c>
      <c r="B71" s="37"/>
      <c r="C71" s="46"/>
      <c r="D71" s="34"/>
      <c r="E71" s="35"/>
      <c r="F71" s="35">
        <v>0.4</v>
      </c>
      <c r="G71" s="35" t="s">
        <v>17</v>
      </c>
      <c r="H71" s="35">
        <f>SUM(F68:F71)</f>
        <v>32</v>
      </c>
      <c r="I71" s="35"/>
      <c r="J71" s="36"/>
      <c r="K71" s="37"/>
      <c r="L71" s="40"/>
      <c r="M71" s="38"/>
      <c r="N71" s="27"/>
    </row>
    <row r="72" spans="1:14" collapsed="1" x14ac:dyDescent="0.25">
      <c r="A72" s="1">
        <f>IF(L72="","",MAX($A$1:$A71)+1)</f>
        <v>8</v>
      </c>
      <c r="B72" s="12" t="s">
        <v>167</v>
      </c>
      <c r="C72" s="46" t="s">
        <v>42</v>
      </c>
      <c r="D72" s="34"/>
      <c r="E72" s="35"/>
      <c r="F72" s="35"/>
      <c r="G72" s="35"/>
      <c r="H72" s="35"/>
      <c r="I72" s="35"/>
      <c r="J72" s="36"/>
      <c r="K72" s="37" t="s">
        <v>4</v>
      </c>
      <c r="L72" s="37">
        <v>1</v>
      </c>
      <c r="M72" s="38"/>
      <c r="N72" s="13">
        <f>M72*L72</f>
        <v>0</v>
      </c>
    </row>
    <row r="73" spans="1:14" ht="33.75" hidden="1" outlineLevel="1" x14ac:dyDescent="0.25">
      <c r="A73" s="1" t="str">
        <f>IF(L73="","",MAX($A$1:$A72)+1)</f>
        <v/>
      </c>
      <c r="B73" s="37"/>
      <c r="C73" s="77" t="s">
        <v>8</v>
      </c>
      <c r="D73" s="44" t="s">
        <v>96</v>
      </c>
      <c r="E73" s="35" t="s">
        <v>17</v>
      </c>
      <c r="F73" s="35">
        <v>4</v>
      </c>
      <c r="G73" s="35"/>
      <c r="H73" s="35"/>
      <c r="I73" s="35"/>
      <c r="J73" s="36"/>
      <c r="K73" s="37"/>
      <c r="L73" s="37"/>
      <c r="M73" s="38"/>
      <c r="N73" s="27"/>
    </row>
    <row r="74" spans="1:14" ht="33.75" hidden="1" outlineLevel="1" x14ac:dyDescent="0.25">
      <c r="A74" s="1" t="str">
        <f>IF(L74="","",MAX($A$1:$A73)+1)</f>
        <v/>
      </c>
      <c r="B74" s="37"/>
      <c r="C74" s="77" t="s">
        <v>8</v>
      </c>
      <c r="D74" s="44" t="s">
        <v>97</v>
      </c>
      <c r="E74" s="35" t="s">
        <v>17</v>
      </c>
      <c r="F74" s="35">
        <v>2</v>
      </c>
      <c r="G74" s="35"/>
      <c r="H74" s="35"/>
      <c r="I74" s="35"/>
      <c r="J74" s="36"/>
      <c r="K74" s="37"/>
      <c r="L74" s="37"/>
      <c r="M74" s="38"/>
      <c r="N74" s="27"/>
    </row>
    <row r="75" spans="1:14" hidden="1" outlineLevel="1" x14ac:dyDescent="0.25">
      <c r="A75" s="1" t="str">
        <f>IF(L75="","",MAX($A$1:$A74)+1)</f>
        <v/>
      </c>
      <c r="B75" s="37"/>
      <c r="C75" s="77"/>
      <c r="D75" s="44"/>
      <c r="E75" s="35"/>
      <c r="F75" s="35"/>
      <c r="G75" s="35" t="s">
        <v>17</v>
      </c>
      <c r="H75" s="35">
        <f>SUM(F73:F74)</f>
        <v>6</v>
      </c>
      <c r="I75" s="35"/>
      <c r="J75" s="36"/>
      <c r="K75" s="37"/>
      <c r="L75" s="37"/>
      <c r="M75" s="38"/>
      <c r="N75" s="27"/>
    </row>
    <row r="76" spans="1:14" ht="33.75" hidden="1" outlineLevel="1" x14ac:dyDescent="0.25">
      <c r="A76" s="1" t="str">
        <f>IF(L76="","",MAX($A$1:$A75)+1)</f>
        <v/>
      </c>
      <c r="B76" s="37"/>
      <c r="C76" s="77" t="s">
        <v>8</v>
      </c>
      <c r="D76" s="44" t="s">
        <v>132</v>
      </c>
      <c r="E76" s="35" t="s">
        <v>17</v>
      </c>
      <c r="F76" s="35">
        <v>2</v>
      </c>
      <c r="G76" s="35"/>
      <c r="H76" s="35"/>
      <c r="I76" s="35"/>
      <c r="J76" s="36"/>
      <c r="K76" s="37"/>
      <c r="L76" s="37"/>
      <c r="M76" s="38"/>
      <c r="N76" s="27"/>
    </row>
    <row r="77" spans="1:14" ht="33.75" hidden="1" outlineLevel="1" x14ac:dyDescent="0.25">
      <c r="A77" s="1" t="str">
        <f>IF(L77="","",MAX($A$1:$A76)+1)</f>
        <v/>
      </c>
      <c r="B77" s="37"/>
      <c r="C77" s="77" t="s">
        <v>8</v>
      </c>
      <c r="D77" s="44" t="s">
        <v>133</v>
      </c>
      <c r="E77" s="35" t="s">
        <v>17</v>
      </c>
      <c r="F77" s="35">
        <v>1</v>
      </c>
      <c r="G77" s="35"/>
      <c r="H77" s="35"/>
      <c r="I77" s="35"/>
      <c r="J77" s="36"/>
      <c r="K77" s="37"/>
      <c r="L77" s="37"/>
      <c r="M77" s="38"/>
      <c r="N77" s="27"/>
    </row>
    <row r="78" spans="1:14" hidden="1" outlineLevel="1" x14ac:dyDescent="0.25">
      <c r="A78" s="1" t="str">
        <f>IF(L78="","",MAX($A$1:$A77)+1)</f>
        <v/>
      </c>
      <c r="B78" s="37"/>
      <c r="C78" s="77"/>
      <c r="D78" s="34"/>
      <c r="E78" s="35"/>
      <c r="F78" s="35"/>
      <c r="G78" s="35" t="s">
        <v>17</v>
      </c>
      <c r="H78" s="35">
        <f>SUM(F76:F77)</f>
        <v>3</v>
      </c>
      <c r="I78" s="35"/>
      <c r="J78" s="36"/>
      <c r="K78" s="37"/>
      <c r="L78" s="37"/>
      <c r="M78" s="38"/>
      <c r="N78" s="27"/>
    </row>
    <row r="79" spans="1:14" collapsed="1" x14ac:dyDescent="0.25">
      <c r="A79" s="1">
        <f>IF(L79="","",MAX($A$1:$A78)+1)</f>
        <v>9</v>
      </c>
      <c r="B79" s="12" t="s">
        <v>167</v>
      </c>
      <c r="C79" s="46" t="s">
        <v>159</v>
      </c>
      <c r="D79" s="34"/>
      <c r="E79" s="35"/>
      <c r="F79" s="35"/>
      <c r="G79" s="35"/>
      <c r="H79" s="35"/>
      <c r="I79" s="35"/>
      <c r="J79" s="36"/>
      <c r="K79" s="37" t="s">
        <v>6</v>
      </c>
      <c r="L79" s="37">
        <v>3.12</v>
      </c>
      <c r="M79" s="38"/>
      <c r="N79" s="13">
        <f>M79*L79</f>
        <v>0</v>
      </c>
    </row>
    <row r="80" spans="1:14" x14ac:dyDescent="0.25">
      <c r="A80" s="1" t="str">
        <f>IF(L80="","",MAX($A$1:$A79)+1)</f>
        <v/>
      </c>
      <c r="B80" s="12"/>
      <c r="C80" s="68" t="s">
        <v>158</v>
      </c>
      <c r="D80" s="34"/>
      <c r="E80" s="35"/>
      <c r="F80" s="35"/>
      <c r="G80" s="35"/>
      <c r="H80" s="35"/>
      <c r="I80" s="35"/>
      <c r="J80" s="36"/>
      <c r="K80" s="37"/>
      <c r="L80" s="37"/>
      <c r="M80" s="38"/>
      <c r="N80" s="27"/>
    </row>
    <row r="81" spans="1:14" x14ac:dyDescent="0.25">
      <c r="A81" s="1">
        <f>IF(L81="","",MAX($A$1:$A80)+1)</f>
        <v>10</v>
      </c>
      <c r="B81" s="12" t="s">
        <v>167</v>
      </c>
      <c r="C81" s="46" t="s">
        <v>45</v>
      </c>
      <c r="D81" s="34"/>
      <c r="E81" s="35"/>
      <c r="F81" s="35"/>
      <c r="G81" s="35"/>
      <c r="H81" s="35"/>
      <c r="I81" s="35"/>
      <c r="J81" s="36"/>
      <c r="K81" s="37" t="s">
        <v>6</v>
      </c>
      <c r="L81" s="53">
        <v>1.56</v>
      </c>
      <c r="M81" s="38"/>
      <c r="N81" s="13">
        <f>M81*L81</f>
        <v>0</v>
      </c>
    </row>
    <row r="82" spans="1:14" x14ac:dyDescent="0.25">
      <c r="A82" s="1">
        <f>IF(L82="","",MAX($A$1:$A81)+1)</f>
        <v>11</v>
      </c>
      <c r="B82" s="12" t="s">
        <v>167</v>
      </c>
      <c r="C82" s="46" t="s">
        <v>100</v>
      </c>
      <c r="D82" s="34"/>
      <c r="E82" s="35"/>
      <c r="F82" s="35"/>
      <c r="G82" s="35"/>
      <c r="H82" s="35"/>
      <c r="I82" s="35"/>
      <c r="J82" s="36"/>
      <c r="K82" s="37" t="s">
        <v>6</v>
      </c>
      <c r="L82" s="53">
        <v>1.56</v>
      </c>
      <c r="M82" s="38"/>
      <c r="N82" s="13">
        <f>M82*L82</f>
        <v>0</v>
      </c>
    </row>
    <row r="83" spans="1:14" x14ac:dyDescent="0.25">
      <c r="A83" s="1">
        <f>IF(L83="","",MAX($A$1:$A82)+1)</f>
        <v>12</v>
      </c>
      <c r="B83" s="12" t="s">
        <v>167</v>
      </c>
      <c r="C83" s="67" t="s">
        <v>47</v>
      </c>
      <c r="D83" s="34"/>
      <c r="E83" s="35"/>
      <c r="F83" s="35"/>
      <c r="G83" s="35"/>
      <c r="H83" s="35"/>
      <c r="I83" s="35"/>
      <c r="J83" s="36"/>
      <c r="K83" s="37" t="s">
        <v>4</v>
      </c>
      <c r="L83" s="37">
        <v>1</v>
      </c>
      <c r="M83" s="38"/>
      <c r="N83" s="13">
        <f>M83*L83</f>
        <v>0</v>
      </c>
    </row>
    <row r="84" spans="1:14" ht="22.5" hidden="1" outlineLevel="1" x14ac:dyDescent="0.25">
      <c r="A84" s="1" t="str">
        <f>IF(L84="","",MAX($A$1:$A83)+1)</f>
        <v/>
      </c>
      <c r="B84" s="37"/>
      <c r="C84" s="67"/>
      <c r="D84" s="44" t="s">
        <v>134</v>
      </c>
      <c r="E84" s="35"/>
      <c r="F84" s="35"/>
      <c r="G84" s="35"/>
      <c r="H84" s="35"/>
      <c r="I84" s="35"/>
      <c r="J84" s="36"/>
      <c r="K84" s="37"/>
      <c r="L84" s="37"/>
      <c r="M84" s="38"/>
      <c r="N84" s="27"/>
    </row>
    <row r="85" spans="1:14" hidden="1" outlineLevel="1" x14ac:dyDescent="0.25">
      <c r="A85" s="1" t="str">
        <f>IF(L85="","",MAX($A$1:$A84)+1)</f>
        <v/>
      </c>
      <c r="B85" s="37"/>
      <c r="C85" s="67"/>
      <c r="D85" s="34" t="s">
        <v>135</v>
      </c>
      <c r="E85" s="35" t="s">
        <v>8</v>
      </c>
      <c r="F85" s="35">
        <v>3</v>
      </c>
      <c r="G85" s="35"/>
      <c r="H85" s="35"/>
      <c r="I85" s="35"/>
      <c r="J85" s="36"/>
      <c r="K85" s="37"/>
      <c r="L85" s="37"/>
      <c r="M85" s="38"/>
      <c r="N85" s="27"/>
    </row>
    <row r="86" spans="1:14" ht="22.5" hidden="1" outlineLevel="1" x14ac:dyDescent="0.25">
      <c r="A86" s="1" t="str">
        <f>IF(L86="","",MAX($A$1:$A85)+1)</f>
        <v/>
      </c>
      <c r="B86" s="37"/>
      <c r="C86" s="67"/>
      <c r="D86" s="44" t="s">
        <v>136</v>
      </c>
      <c r="E86" s="35" t="s">
        <v>8</v>
      </c>
      <c r="F86" s="35">
        <v>1</v>
      </c>
      <c r="G86" s="35"/>
      <c r="H86" s="35"/>
      <c r="I86" s="35"/>
      <c r="J86" s="36"/>
      <c r="K86" s="37"/>
      <c r="L86" s="37"/>
      <c r="M86" s="38"/>
      <c r="N86" s="27"/>
    </row>
    <row r="87" spans="1:14" hidden="1" outlineLevel="1" x14ac:dyDescent="0.25">
      <c r="A87" s="1" t="str">
        <f>IF(L87="","",MAX($A$1:$A86)+1)</f>
        <v/>
      </c>
      <c r="B87" s="37"/>
      <c r="C87" s="67"/>
      <c r="D87" s="44"/>
      <c r="E87" s="35"/>
      <c r="F87" s="35"/>
      <c r="G87" s="35" t="s">
        <v>17</v>
      </c>
      <c r="H87" s="35">
        <f>SUM(F85:F86)</f>
        <v>4</v>
      </c>
      <c r="I87" s="35"/>
      <c r="J87" s="36"/>
      <c r="K87" s="37"/>
      <c r="L87" s="37"/>
      <c r="M87" s="38"/>
      <c r="N87" s="27"/>
    </row>
    <row r="88" spans="1:14" hidden="1" outlineLevel="1" x14ac:dyDescent="0.25">
      <c r="A88" s="1" t="str">
        <f>IF(L88="","",MAX($A$1:$A87)+1)</f>
        <v/>
      </c>
      <c r="B88" s="37"/>
      <c r="C88" s="67"/>
      <c r="D88" s="44"/>
      <c r="E88" s="35"/>
      <c r="F88" s="35"/>
      <c r="G88" s="35"/>
      <c r="H88" s="35"/>
      <c r="I88" s="35"/>
      <c r="J88" s="36"/>
      <c r="K88" s="37"/>
      <c r="L88" s="37"/>
      <c r="M88" s="38"/>
      <c r="N88" s="27"/>
    </row>
    <row r="89" spans="1:14" collapsed="1" x14ac:dyDescent="0.25">
      <c r="A89" s="1" t="str">
        <f>IF(L89="","",MAX($A$1:$A88)+1)</f>
        <v/>
      </c>
      <c r="B89" s="12"/>
      <c r="C89" s="78"/>
      <c r="D89" s="34"/>
      <c r="E89" s="35"/>
      <c r="F89" s="35"/>
      <c r="G89" s="35"/>
      <c r="H89" s="35"/>
      <c r="I89" s="35"/>
      <c r="J89" s="35"/>
      <c r="K89" s="12"/>
      <c r="L89" s="12"/>
      <c r="M89" s="13"/>
      <c r="N89" s="13"/>
    </row>
    <row r="90" spans="1:14" x14ac:dyDescent="0.25">
      <c r="A90" s="1">
        <f>IF(L90="","",MAX($A$1:$A89)+1)</f>
        <v>13</v>
      </c>
      <c r="B90" s="37" t="s">
        <v>173</v>
      </c>
      <c r="C90" s="68" t="s">
        <v>49</v>
      </c>
      <c r="D90" s="34"/>
      <c r="E90" s="35"/>
      <c r="F90" s="35"/>
      <c r="G90" s="35"/>
      <c r="H90" s="35"/>
      <c r="I90" s="35"/>
      <c r="J90" s="35"/>
      <c r="K90" s="12" t="s">
        <v>4</v>
      </c>
      <c r="L90" s="12">
        <v>1</v>
      </c>
      <c r="M90" s="13"/>
      <c r="N90" s="13">
        <f>M90*L90</f>
        <v>0</v>
      </c>
    </row>
    <row r="91" spans="1:14" x14ac:dyDescent="0.25">
      <c r="A91" s="1" t="str">
        <f>IF(L91="","",MAX($A$1:$A90)+1)</f>
        <v/>
      </c>
      <c r="B91" s="12"/>
      <c r="C91" s="68"/>
      <c r="D91" s="34"/>
      <c r="E91" s="35"/>
      <c r="F91" s="35"/>
      <c r="G91" s="35"/>
      <c r="H91" s="35"/>
      <c r="I91" s="35"/>
      <c r="J91" s="35"/>
      <c r="K91" s="12"/>
      <c r="L91" s="12"/>
      <c r="M91" s="13"/>
      <c r="N91" s="13"/>
    </row>
    <row r="92" spans="1:14" x14ac:dyDescent="0.25">
      <c r="A92" s="1">
        <f>IF(L92="","",MAX($A$1:$A91)+1)</f>
        <v>14</v>
      </c>
      <c r="B92" s="37" t="s">
        <v>174</v>
      </c>
      <c r="C92" s="68" t="s">
        <v>50</v>
      </c>
      <c r="D92" s="34"/>
      <c r="E92" s="35"/>
      <c r="F92" s="35"/>
      <c r="G92" s="35"/>
      <c r="H92" s="35"/>
      <c r="I92" s="35"/>
      <c r="J92" s="35"/>
      <c r="K92" s="12" t="s">
        <v>4</v>
      </c>
      <c r="L92" s="12">
        <v>1</v>
      </c>
      <c r="M92" s="13"/>
      <c r="N92" s="13">
        <f>M92*L92</f>
        <v>0</v>
      </c>
    </row>
    <row r="93" spans="1:14" x14ac:dyDescent="0.25">
      <c r="A93" s="1" t="str">
        <f>IF(L93="","",MAX($A$1:$A92)+1)</f>
        <v/>
      </c>
      <c r="B93" s="12"/>
      <c r="C93" s="25"/>
      <c r="D93" s="34"/>
      <c r="E93" s="35"/>
      <c r="F93" s="35"/>
      <c r="G93" s="35"/>
      <c r="H93" s="35"/>
      <c r="I93" s="35"/>
      <c r="J93" s="35"/>
      <c r="K93" s="12"/>
      <c r="L93" s="12"/>
      <c r="M93" s="13"/>
      <c r="N93" s="13"/>
    </row>
    <row r="94" spans="1:14" x14ac:dyDescent="0.25">
      <c r="A94" s="1" t="str">
        <f>IF(L94="","",MAX($A$1:$A93)+1)</f>
        <v/>
      </c>
      <c r="B94" s="12" t="s">
        <v>171</v>
      </c>
      <c r="C94" s="26" t="s">
        <v>51</v>
      </c>
      <c r="D94" s="34"/>
      <c r="E94" s="35"/>
      <c r="F94" s="35"/>
      <c r="G94" s="35"/>
      <c r="H94" s="35"/>
      <c r="I94" s="35"/>
      <c r="J94" s="35"/>
      <c r="K94" s="12"/>
      <c r="L94" s="12"/>
      <c r="M94" s="13"/>
      <c r="N94" s="13"/>
    </row>
    <row r="95" spans="1:14" x14ac:dyDescent="0.25">
      <c r="A95" s="1" t="str">
        <f>IF(L95="","",MAX($A$1:$A94)+1)</f>
        <v/>
      </c>
      <c r="B95" s="12"/>
      <c r="C95" s="25"/>
      <c r="D95" s="34"/>
      <c r="E95" s="35"/>
      <c r="F95" s="35"/>
      <c r="G95" s="35"/>
      <c r="H95" s="35"/>
      <c r="I95" s="35"/>
      <c r="J95" s="35"/>
      <c r="K95" s="12"/>
      <c r="L95" s="12"/>
      <c r="M95" s="13"/>
      <c r="N95" s="13"/>
    </row>
    <row r="96" spans="1:14" x14ac:dyDescent="0.25">
      <c r="A96" s="1" t="str">
        <f>IF(L96="","",MAX($A$1:$A95)+1)</f>
        <v/>
      </c>
      <c r="B96" s="37"/>
      <c r="C96" s="68" t="s">
        <v>137</v>
      </c>
      <c r="D96" s="34"/>
      <c r="E96" s="35"/>
      <c r="F96" s="35"/>
      <c r="G96" s="35"/>
      <c r="H96" s="35"/>
      <c r="I96" s="35"/>
      <c r="J96" s="35"/>
      <c r="K96" s="12"/>
      <c r="L96" s="15"/>
      <c r="M96" s="13"/>
      <c r="N96" s="13"/>
    </row>
    <row r="97" spans="1:14" x14ac:dyDescent="0.25">
      <c r="A97" s="1">
        <f>IF(L97="","",MAX($A$1:$A96)+1)</f>
        <v>15</v>
      </c>
      <c r="B97" s="12" t="s">
        <v>166</v>
      </c>
      <c r="C97" s="67" t="s">
        <v>161</v>
      </c>
      <c r="D97" s="34"/>
      <c r="E97" s="35"/>
      <c r="F97" s="35"/>
      <c r="G97" s="35"/>
      <c r="H97" s="35"/>
      <c r="I97" s="35"/>
      <c r="J97" s="35"/>
      <c r="K97" s="12" t="s">
        <v>9</v>
      </c>
      <c r="L97" s="15">
        <v>115</v>
      </c>
      <c r="M97" s="13"/>
      <c r="N97" s="13">
        <f>M97*L97</f>
        <v>0</v>
      </c>
    </row>
    <row r="98" spans="1:14" hidden="1" outlineLevel="1" x14ac:dyDescent="0.25">
      <c r="A98" s="1" t="str">
        <f>IF(L98="","",MAX($A$1:$A97)+1)</f>
        <v/>
      </c>
      <c r="B98" s="37"/>
      <c r="C98" s="79" t="s">
        <v>138</v>
      </c>
      <c r="D98" s="34" t="s">
        <v>139</v>
      </c>
      <c r="E98" s="35" t="s">
        <v>17</v>
      </c>
      <c r="F98" s="35">
        <f>5.6*3.45+4.15*1.6</f>
        <v>25.96</v>
      </c>
      <c r="G98" s="35"/>
      <c r="H98" s="35"/>
      <c r="I98" s="35"/>
      <c r="J98" s="36"/>
      <c r="K98" s="37"/>
      <c r="L98" s="37"/>
      <c r="M98" s="38"/>
      <c r="N98" s="27"/>
    </row>
    <row r="99" spans="1:14" hidden="1" outlineLevel="1" x14ac:dyDescent="0.25">
      <c r="A99" s="1" t="str">
        <f>IF(L99="","",MAX($A$1:$A98)+1)</f>
        <v/>
      </c>
      <c r="B99" s="37"/>
      <c r="C99" s="79" t="s">
        <v>138</v>
      </c>
      <c r="D99" s="34" t="s">
        <v>140</v>
      </c>
      <c r="E99" s="35" t="s">
        <v>17</v>
      </c>
      <c r="F99" s="35">
        <f>6.2*3.5+4.8*2.1</f>
        <v>31.78</v>
      </c>
      <c r="G99" s="35"/>
      <c r="H99" s="35"/>
      <c r="I99" s="35"/>
      <c r="J99" s="36"/>
      <c r="K99" s="37"/>
      <c r="L99" s="37"/>
      <c r="M99" s="38"/>
      <c r="N99" s="27"/>
    </row>
    <row r="100" spans="1:14" hidden="1" outlineLevel="1" x14ac:dyDescent="0.25">
      <c r="A100" s="1" t="str">
        <f>IF(L100="","",MAX($A$1:$A99)+1)</f>
        <v/>
      </c>
      <c r="B100" s="37"/>
      <c r="C100" s="79" t="s">
        <v>141</v>
      </c>
      <c r="D100" s="44" t="s">
        <v>142</v>
      </c>
      <c r="E100" s="35" t="s">
        <v>17</v>
      </c>
      <c r="F100" s="35">
        <f>SUM(F17:F24)</f>
        <v>100.38</v>
      </c>
      <c r="G100" s="35"/>
      <c r="H100" s="35"/>
      <c r="I100" s="35"/>
      <c r="J100" s="36"/>
      <c r="K100" s="37"/>
      <c r="L100" s="37"/>
      <c r="M100" s="38"/>
      <c r="N100" s="27"/>
    </row>
    <row r="101" spans="1:14" hidden="1" outlineLevel="1" x14ac:dyDescent="0.25">
      <c r="A101" s="1" t="str">
        <f>IF(L101="","",MAX($A$1:$A100)+1)</f>
        <v/>
      </c>
      <c r="B101" s="37"/>
      <c r="C101" s="76"/>
      <c r="D101" s="44" t="s">
        <v>143</v>
      </c>
      <c r="E101" s="35" t="s">
        <v>17</v>
      </c>
      <c r="F101" s="43">
        <f>-((10+7.3)/2*1.25)-(8.5+10.25)/2*1.75-(2*1.2+(4.25+3.5)/2*1.2+(3.13+4.5)/2*1.2)-3*1.5-(3.7+3.25)/2*0.75</f>
        <v>-45.95</v>
      </c>
      <c r="G101" s="35"/>
      <c r="H101" s="35"/>
      <c r="I101" s="35"/>
      <c r="J101" s="36"/>
      <c r="K101" s="37"/>
      <c r="L101" s="37"/>
      <c r="M101" s="38"/>
      <c r="N101" s="27"/>
    </row>
    <row r="102" spans="1:14" hidden="1" outlineLevel="1" x14ac:dyDescent="0.25">
      <c r="A102" s="1" t="str">
        <f>IF(L102="","",MAX($A$1:$A101)+1)</f>
        <v/>
      </c>
      <c r="B102" s="37"/>
      <c r="C102" s="76"/>
      <c r="D102" s="44"/>
      <c r="E102" s="35"/>
      <c r="F102" s="35">
        <v>2.83</v>
      </c>
      <c r="G102" s="35"/>
      <c r="H102" s="35"/>
      <c r="I102" s="35"/>
      <c r="J102" s="36"/>
      <c r="K102" s="37"/>
      <c r="L102" s="37"/>
      <c r="M102" s="38"/>
      <c r="N102" s="27"/>
    </row>
    <row r="103" spans="1:14" hidden="1" outlineLevel="1" x14ac:dyDescent="0.25">
      <c r="A103" s="1" t="str">
        <f>IF(L103="","",MAX($A$1:$A102)+1)</f>
        <v/>
      </c>
      <c r="B103" s="37"/>
      <c r="C103" s="76"/>
      <c r="D103" s="34"/>
      <c r="E103" s="35"/>
      <c r="F103" s="35"/>
      <c r="G103" s="35" t="s">
        <v>17</v>
      </c>
      <c r="H103" s="43">
        <f>SUM(F98:F103)</f>
        <v>115</v>
      </c>
      <c r="I103" s="35"/>
      <c r="J103" s="36"/>
      <c r="K103" s="37"/>
      <c r="L103" s="37"/>
      <c r="M103" s="38"/>
      <c r="N103" s="27"/>
    </row>
    <row r="104" spans="1:14" collapsed="1" x14ac:dyDescent="0.25">
      <c r="A104" s="1">
        <f>IF(L104="","",MAX($A$1:$A103)+1)</f>
        <v>16</v>
      </c>
      <c r="B104" s="12" t="s">
        <v>166</v>
      </c>
      <c r="C104" s="46" t="s">
        <v>105</v>
      </c>
      <c r="D104" s="34"/>
      <c r="E104" s="35"/>
      <c r="F104" s="43"/>
      <c r="G104" s="35"/>
      <c r="H104" s="43"/>
      <c r="I104" s="35"/>
      <c r="J104" s="35"/>
      <c r="K104" s="12" t="s">
        <v>9</v>
      </c>
      <c r="L104" s="15">
        <v>392</v>
      </c>
      <c r="M104" s="13"/>
      <c r="N104" s="13">
        <f>M104*L104</f>
        <v>0</v>
      </c>
    </row>
    <row r="105" spans="1:14" hidden="1" outlineLevel="1" x14ac:dyDescent="0.25">
      <c r="A105" s="1" t="str">
        <f>IF(L105="","",MAX($A$1:$A104)+1)</f>
        <v/>
      </c>
      <c r="B105" s="37"/>
      <c r="C105" s="86" t="s">
        <v>144</v>
      </c>
      <c r="D105" s="34" t="s">
        <v>144</v>
      </c>
      <c r="E105" s="35"/>
      <c r="F105" s="43"/>
      <c r="G105" s="35"/>
      <c r="H105" s="43"/>
      <c r="I105" s="35"/>
      <c r="J105" s="35"/>
      <c r="K105" s="12"/>
      <c r="L105" s="12"/>
      <c r="M105" s="13"/>
      <c r="N105" s="13"/>
    </row>
    <row r="106" spans="1:14" hidden="1" outlineLevel="1" x14ac:dyDescent="0.25">
      <c r="A106" s="1" t="str">
        <f>IF(L106="","",MAX($A$1:$A105)+1)</f>
        <v/>
      </c>
      <c r="B106" s="37"/>
      <c r="C106" s="46"/>
      <c r="D106" s="34" t="s">
        <v>145</v>
      </c>
      <c r="E106" s="35" t="s">
        <v>17</v>
      </c>
      <c r="F106" s="43">
        <f>2*((4.8+6.2)/2*2.15)+2*((5.5+2.9)/2*2)</f>
        <v>40.450000000000003</v>
      </c>
      <c r="G106" s="35"/>
      <c r="H106" s="43"/>
      <c r="I106" s="35"/>
      <c r="J106" s="35"/>
      <c r="K106" s="12"/>
      <c r="L106" s="12"/>
      <c r="M106" s="13"/>
      <c r="N106" s="13"/>
    </row>
    <row r="107" spans="1:14" hidden="1" outlineLevel="1" x14ac:dyDescent="0.25">
      <c r="A107" s="1" t="str">
        <f>IF(L107="","",MAX($A$1:$A106)+1)</f>
        <v/>
      </c>
      <c r="B107" s="37"/>
      <c r="C107" s="46"/>
      <c r="D107" s="34" t="s">
        <v>146</v>
      </c>
      <c r="E107" s="35" t="s">
        <v>17</v>
      </c>
      <c r="F107" s="43">
        <f>(2*6.2+2*5.5)*1.4</f>
        <v>32.76</v>
      </c>
      <c r="G107" s="35"/>
      <c r="H107" s="43"/>
      <c r="I107" s="35"/>
      <c r="J107" s="35"/>
      <c r="K107" s="12"/>
      <c r="L107" s="12"/>
      <c r="M107" s="13"/>
      <c r="N107" s="13"/>
    </row>
    <row r="108" spans="1:14" hidden="1" outlineLevel="1" x14ac:dyDescent="0.25">
      <c r="A108" s="1" t="str">
        <f>IF(L108="","",MAX($A$1:$A107)+1)</f>
        <v/>
      </c>
      <c r="B108" s="37"/>
      <c r="C108" s="46"/>
      <c r="D108" s="34" t="s">
        <v>147</v>
      </c>
      <c r="E108" s="35" t="s">
        <v>17</v>
      </c>
      <c r="F108" s="43">
        <f>3.5*4.8</f>
        <v>16.8</v>
      </c>
      <c r="G108" s="35" t="s">
        <v>17</v>
      </c>
      <c r="H108" s="43">
        <f>SUM(F106:F108)</f>
        <v>90.01</v>
      </c>
      <c r="I108" s="35"/>
      <c r="J108" s="35"/>
      <c r="K108" s="12"/>
      <c r="L108" s="12"/>
      <c r="M108" s="13"/>
      <c r="N108" s="13"/>
    </row>
    <row r="109" spans="1:14" s="8" customFormat="1" hidden="1" outlineLevel="1" x14ac:dyDescent="0.25">
      <c r="A109" s="1" t="str">
        <f>IF(L109="","",MAX($A$1:$A108)+1)</f>
        <v/>
      </c>
      <c r="B109" s="63"/>
      <c r="C109" s="91" t="s">
        <v>148</v>
      </c>
      <c r="D109" s="60"/>
      <c r="E109" s="61"/>
      <c r="F109" s="69"/>
      <c r="G109" s="61"/>
      <c r="H109" s="69"/>
      <c r="I109" s="61"/>
      <c r="J109" s="61"/>
      <c r="K109" s="16"/>
      <c r="L109" s="16"/>
      <c r="M109" s="28"/>
      <c r="N109" s="28"/>
    </row>
    <row r="110" spans="1:14" s="8" customFormat="1" hidden="1" outlineLevel="1" x14ac:dyDescent="0.25">
      <c r="A110" s="1" t="str">
        <f>IF(L110="","",MAX($A$1:$A109)+1)</f>
        <v/>
      </c>
      <c r="B110" s="63"/>
      <c r="C110" s="68"/>
      <c r="D110" s="60" t="s">
        <v>145</v>
      </c>
      <c r="E110" s="61"/>
      <c r="F110" s="61"/>
      <c r="G110" s="61"/>
      <c r="H110" s="61"/>
      <c r="I110" s="61"/>
      <c r="J110" s="61"/>
      <c r="K110" s="16"/>
      <c r="L110" s="16"/>
      <c r="M110" s="28"/>
      <c r="N110" s="28"/>
    </row>
    <row r="111" spans="1:14" s="8" customFormat="1" hidden="1" outlineLevel="1" x14ac:dyDescent="0.25">
      <c r="A111" s="1" t="str">
        <f>IF(L111="","",MAX($A$1:$A110)+1)</f>
        <v/>
      </c>
      <c r="B111" s="63"/>
      <c r="C111" s="68"/>
      <c r="D111" s="60" t="s">
        <v>113</v>
      </c>
      <c r="E111" s="61" t="s">
        <v>17</v>
      </c>
      <c r="F111" s="69">
        <f>(3.13+4.5)/2*1.37+(3.5+2.65)/2*1.64</f>
        <v>10.27</v>
      </c>
      <c r="G111" s="61"/>
      <c r="H111" s="61"/>
      <c r="I111" s="61"/>
      <c r="J111" s="61"/>
      <c r="K111" s="16"/>
      <c r="L111" s="16"/>
      <c r="M111" s="28"/>
      <c r="N111" s="28"/>
    </row>
    <row r="112" spans="1:14" s="8" customFormat="1" hidden="1" outlineLevel="1" x14ac:dyDescent="0.25">
      <c r="A112" s="1" t="str">
        <f>IF(L112="","",MAX($A$1:$A111)+1)</f>
        <v/>
      </c>
      <c r="B112" s="63"/>
      <c r="C112" s="68"/>
      <c r="D112" s="60" t="s">
        <v>114</v>
      </c>
      <c r="E112" s="61" t="s">
        <v>17</v>
      </c>
      <c r="F112" s="61">
        <f>3*1.72</f>
        <v>5.16</v>
      </c>
      <c r="G112" s="61"/>
      <c r="H112" s="61"/>
      <c r="I112" s="61"/>
      <c r="J112" s="61"/>
      <c r="K112" s="16"/>
      <c r="L112" s="16"/>
      <c r="M112" s="28"/>
      <c r="N112" s="28"/>
    </row>
    <row r="113" spans="1:14" s="8" customFormat="1" hidden="1" outlineLevel="1" x14ac:dyDescent="0.25">
      <c r="A113" s="1" t="str">
        <f>IF(L113="","",MAX($A$1:$A112)+1)</f>
        <v/>
      </c>
      <c r="B113" s="63"/>
      <c r="C113" s="68"/>
      <c r="D113" s="60" t="s">
        <v>115</v>
      </c>
      <c r="E113" s="61" t="s">
        <v>17</v>
      </c>
      <c r="F113" s="69">
        <f>(2.5+3.75)/2*1.8+(3.7+3.25)/2*1.01</f>
        <v>9.1300000000000008</v>
      </c>
      <c r="G113" s="61"/>
      <c r="H113" s="61"/>
      <c r="I113" s="61"/>
      <c r="J113" s="61"/>
      <c r="K113" s="16"/>
      <c r="L113" s="16"/>
      <c r="M113" s="28"/>
      <c r="N113" s="28"/>
    </row>
    <row r="114" spans="1:14" s="8" customFormat="1" hidden="1" outlineLevel="1" x14ac:dyDescent="0.25">
      <c r="A114" s="1" t="str">
        <f>IF(L114="","",MAX($A$1:$A113)+1)</f>
        <v/>
      </c>
      <c r="B114" s="63"/>
      <c r="C114" s="68"/>
      <c r="D114" s="60" t="s">
        <v>116</v>
      </c>
      <c r="E114" s="61" t="s">
        <v>17</v>
      </c>
      <c r="F114" s="61">
        <f>1*1.4</f>
        <v>1.4</v>
      </c>
      <c r="G114" s="61"/>
      <c r="H114" s="61"/>
      <c r="I114" s="61"/>
      <c r="J114" s="61"/>
      <c r="K114" s="16"/>
      <c r="L114" s="16"/>
      <c r="M114" s="28"/>
      <c r="N114" s="28"/>
    </row>
    <row r="115" spans="1:14" s="8" customFormat="1" hidden="1" outlineLevel="1" x14ac:dyDescent="0.25">
      <c r="A115" s="1" t="str">
        <f>IF(L115="","",MAX($A$1:$A114)+1)</f>
        <v/>
      </c>
      <c r="B115" s="63"/>
      <c r="C115" s="68"/>
      <c r="D115" s="60" t="s">
        <v>117</v>
      </c>
      <c r="E115" s="70" t="s">
        <v>17</v>
      </c>
      <c r="F115" s="61">
        <f>F114</f>
        <v>1.4</v>
      </c>
      <c r="G115" s="61"/>
      <c r="H115" s="61"/>
      <c r="I115" s="61"/>
      <c r="J115" s="61"/>
      <c r="K115" s="16"/>
      <c r="L115" s="16"/>
      <c r="M115" s="28"/>
      <c r="N115" s="28"/>
    </row>
    <row r="116" spans="1:14" s="8" customFormat="1" hidden="1" outlineLevel="1" x14ac:dyDescent="0.25">
      <c r="A116" s="1" t="str">
        <f>IF(L116="","",MAX($A$1:$A115)+1)</f>
        <v/>
      </c>
      <c r="B116" s="63"/>
      <c r="C116" s="68"/>
      <c r="D116" s="60" t="s">
        <v>118</v>
      </c>
      <c r="E116" s="61" t="s">
        <v>17</v>
      </c>
      <c r="F116" s="69">
        <f>(3+3.75)/2*1.87+(4.25+3.5)/2*1.38</f>
        <v>11.66</v>
      </c>
      <c r="G116" s="61"/>
      <c r="H116" s="61"/>
      <c r="I116" s="61"/>
      <c r="J116" s="61"/>
      <c r="K116" s="16"/>
      <c r="L116" s="16"/>
      <c r="M116" s="28"/>
      <c r="N116" s="28"/>
    </row>
    <row r="117" spans="1:14" s="8" customFormat="1" hidden="1" outlineLevel="1" x14ac:dyDescent="0.25">
      <c r="A117" s="1" t="str">
        <f>IF(L117="","",MAX($A$1:$A116)+1)</f>
        <v/>
      </c>
      <c r="B117" s="63"/>
      <c r="C117" s="68"/>
      <c r="D117" s="60" t="s">
        <v>119</v>
      </c>
      <c r="E117" s="61" t="s">
        <v>17</v>
      </c>
      <c r="F117" s="61">
        <f>2.5*1.74</f>
        <v>4.3499999999999996</v>
      </c>
      <c r="G117" s="61"/>
      <c r="H117" s="61"/>
      <c r="I117" s="61"/>
      <c r="J117" s="61"/>
      <c r="K117" s="16"/>
      <c r="L117" s="16"/>
      <c r="M117" s="28"/>
      <c r="N117" s="28"/>
    </row>
    <row r="118" spans="1:14" s="8" customFormat="1" hidden="1" outlineLevel="1" x14ac:dyDescent="0.25">
      <c r="A118" s="1" t="str">
        <f>IF(L118="","",MAX($A$1:$A117)+1)</f>
        <v/>
      </c>
      <c r="B118" s="63"/>
      <c r="C118" s="68"/>
      <c r="D118" s="60" t="s">
        <v>120</v>
      </c>
      <c r="E118" s="61" t="s">
        <v>17</v>
      </c>
      <c r="F118" s="69">
        <f>(2.5+3.75)/2*1.75+(5.5+6.5)/2*2.145</f>
        <v>18.34</v>
      </c>
      <c r="G118" s="61" t="s">
        <v>17</v>
      </c>
      <c r="H118" s="69">
        <f>SUM(F111:F118)</f>
        <v>61.71</v>
      </c>
      <c r="I118" s="61"/>
      <c r="J118" s="61"/>
      <c r="K118" s="16"/>
      <c r="L118" s="16"/>
      <c r="M118" s="28"/>
      <c r="N118" s="28"/>
    </row>
    <row r="119" spans="1:14" s="8" customFormat="1" hidden="1" outlineLevel="1" x14ac:dyDescent="0.25">
      <c r="A119" s="1" t="str">
        <f>IF(L119="","",MAX($A$1:$A118)+1)</f>
        <v/>
      </c>
      <c r="B119" s="63"/>
      <c r="C119" s="68"/>
      <c r="D119" s="60" t="s">
        <v>149</v>
      </c>
      <c r="E119" s="61"/>
      <c r="F119" s="69"/>
      <c r="G119" s="61"/>
      <c r="H119" s="61"/>
      <c r="I119" s="61"/>
      <c r="J119" s="61"/>
      <c r="K119" s="16"/>
      <c r="L119" s="16"/>
      <c r="M119" s="28"/>
      <c r="N119" s="28"/>
    </row>
    <row r="120" spans="1:14" s="8" customFormat="1" hidden="1" outlineLevel="1" x14ac:dyDescent="0.25">
      <c r="A120" s="1" t="str">
        <f>IF(L120="","",MAX($A$1:$A119)+1)</f>
        <v/>
      </c>
      <c r="B120" s="63"/>
      <c r="C120" s="68"/>
      <c r="D120" s="60" t="s">
        <v>113</v>
      </c>
      <c r="E120" s="61" t="s">
        <v>17</v>
      </c>
      <c r="F120" s="69">
        <f>(4.5+3.5-2*1.25)*1.7+(3.55+2.3)*2.37-(2*2.1*0.9)+1.45*(2.37+1.7)/2+1.2*(2.37+1.7)/2</f>
        <v>24.83</v>
      </c>
      <c r="G120" s="61"/>
      <c r="H120" s="61"/>
      <c r="I120" s="61"/>
      <c r="J120" s="61"/>
      <c r="K120" s="16"/>
      <c r="L120" s="16"/>
      <c r="M120" s="28"/>
      <c r="N120" s="28"/>
    </row>
    <row r="121" spans="1:14" s="8" customFormat="1" hidden="1" outlineLevel="1" x14ac:dyDescent="0.25">
      <c r="A121" s="1" t="str">
        <f>IF(L121="","",MAX($A$1:$A120)+1)</f>
        <v/>
      </c>
      <c r="B121" s="63"/>
      <c r="C121" s="75"/>
      <c r="D121" s="60" t="s">
        <v>114</v>
      </c>
      <c r="E121" s="61" t="s">
        <v>17</v>
      </c>
      <c r="F121" s="69">
        <f>(3+2*0.75)*1.7+(3*3)*2.28-2*2.1*0.9+2*(0.5+0.75)*(1.8+1.7)/2</f>
        <v>28.77</v>
      </c>
      <c r="G121" s="61"/>
      <c r="H121" s="61"/>
      <c r="I121" s="61"/>
      <c r="J121" s="61"/>
      <c r="K121" s="16"/>
      <c r="L121" s="16"/>
      <c r="M121" s="28"/>
      <c r="N121" s="28"/>
    </row>
    <row r="122" spans="1:14" s="8" customFormat="1" hidden="1" outlineLevel="1" x14ac:dyDescent="0.25">
      <c r="A122" s="1" t="str">
        <f>IF(L122="","",MAX($A$1:$A121)+1)</f>
        <v/>
      </c>
      <c r="B122" s="63"/>
      <c r="C122" s="75"/>
      <c r="D122" s="60" t="s">
        <v>115</v>
      </c>
      <c r="E122" s="61" t="s">
        <v>17</v>
      </c>
      <c r="F122" s="69">
        <f>(3.7+3.75-2*1.25)*1.7+2*0.5*2.36+2*0.5*2.37+(2.5+3.5)*3-2.1*0.9+(3.7+3.75-2*1.25)*1.7</f>
        <v>37.67</v>
      </c>
      <c r="G122" s="61"/>
      <c r="H122" s="61"/>
      <c r="I122" s="61"/>
      <c r="J122" s="61"/>
      <c r="K122" s="16"/>
      <c r="L122" s="16"/>
      <c r="M122" s="28"/>
      <c r="N122" s="28"/>
    </row>
    <row r="123" spans="1:14" s="8" customFormat="1" hidden="1" outlineLevel="1" x14ac:dyDescent="0.25">
      <c r="A123" s="1" t="str">
        <f>IF(L123="","",MAX($A$1:$A122)+1)</f>
        <v/>
      </c>
      <c r="B123" s="63"/>
      <c r="C123" s="75"/>
      <c r="D123" s="60" t="s">
        <v>116</v>
      </c>
      <c r="E123" s="61" t="s">
        <v>17</v>
      </c>
      <c r="F123" s="69">
        <f>1*1.4+1*1.7+2*(0.45*2.43+1.2*(2.43+1.7)/2)</f>
        <v>10.24</v>
      </c>
      <c r="G123" s="61"/>
      <c r="H123" s="61"/>
      <c r="I123" s="61"/>
      <c r="J123" s="61"/>
      <c r="K123" s="16"/>
      <c r="L123" s="16"/>
      <c r="M123" s="28"/>
      <c r="N123" s="28"/>
    </row>
    <row r="124" spans="1:14" s="8" customFormat="1" hidden="1" outlineLevel="1" x14ac:dyDescent="0.25">
      <c r="A124" s="1" t="str">
        <f>IF(L124="","",MAX($A$1:$A123)+1)</f>
        <v/>
      </c>
      <c r="B124" s="63"/>
      <c r="C124" s="75"/>
      <c r="D124" s="60" t="s">
        <v>117</v>
      </c>
      <c r="E124" s="61" t="s">
        <v>17</v>
      </c>
      <c r="F124" s="69">
        <f>1*1.4+1*1.7+2*(0.45*2.43+1.2*(2.43+1.7)/2)</f>
        <v>10.24</v>
      </c>
      <c r="G124" s="61"/>
      <c r="H124" s="61"/>
      <c r="I124" s="61"/>
      <c r="J124" s="61"/>
      <c r="K124" s="16"/>
      <c r="L124" s="16"/>
      <c r="M124" s="28"/>
      <c r="N124" s="28"/>
    </row>
    <row r="125" spans="1:14" s="8" customFormat="1" hidden="1" outlineLevel="1" x14ac:dyDescent="0.25">
      <c r="A125" s="1" t="str">
        <f>IF(L125="","",MAX($A$1:$A124)+1)</f>
        <v/>
      </c>
      <c r="B125" s="63"/>
      <c r="C125" s="75"/>
      <c r="D125" s="60" t="s">
        <v>118</v>
      </c>
      <c r="E125" s="61" t="s">
        <v>17</v>
      </c>
      <c r="F125" s="69">
        <f>(3.75+4.25-2*1.25)*1.7+4*0.2*1.6+(3+3.3+2*1.25)*2.38-0.9*2.1+1.2*(2.38+1.7)/2+1.75*(2.38+1.7)/2</f>
        <v>35.700000000000003</v>
      </c>
      <c r="G125" s="61"/>
      <c r="H125" s="61"/>
      <c r="I125" s="61"/>
      <c r="J125" s="61"/>
      <c r="K125" s="16"/>
      <c r="L125" s="16"/>
      <c r="M125" s="28"/>
      <c r="N125" s="28"/>
    </row>
    <row r="126" spans="1:14" hidden="1" outlineLevel="1" x14ac:dyDescent="0.25">
      <c r="A126" s="1" t="str">
        <f>IF(L126="","",MAX($A$1:$A125)+1)</f>
        <v/>
      </c>
      <c r="B126" s="37"/>
      <c r="C126" s="68"/>
      <c r="D126" s="60" t="s">
        <v>119</v>
      </c>
      <c r="E126" s="35" t="s">
        <v>17</v>
      </c>
      <c r="F126" s="43">
        <f>2.5*1.7+(3.38+1.25+0.7+4+5.5)*2.91-4*0.9*2.1+2*1.25*(2.91+1.7)/2</f>
        <v>45.61</v>
      </c>
      <c r="G126" s="35"/>
      <c r="H126" s="35"/>
      <c r="I126" s="35"/>
      <c r="J126" s="35"/>
      <c r="K126" s="12"/>
      <c r="L126" s="12"/>
      <c r="M126" s="13"/>
      <c r="N126" s="13"/>
    </row>
    <row r="127" spans="1:14" hidden="1" outlineLevel="1" x14ac:dyDescent="0.25">
      <c r="A127" s="1" t="str">
        <f>IF(L127="","",MAX($A$1:$A126)+1)</f>
        <v/>
      </c>
      <c r="B127" s="37"/>
      <c r="C127" s="68"/>
      <c r="D127" s="60" t="s">
        <v>120</v>
      </c>
      <c r="E127" s="35" t="s">
        <v>17</v>
      </c>
      <c r="F127" s="43">
        <f>(3.75+6.5-2*1.25)*1.7+2*0.5*2.41+2*0.5*2.43+(2.5+0.9+4)*2.94+1.25*(2.94+1.7)/2+1.75*(2.94+1.7)/2</f>
        <v>46.73</v>
      </c>
      <c r="G127" s="35" t="s">
        <v>17</v>
      </c>
      <c r="H127" s="43">
        <f>SUM(F120:F127)</f>
        <v>239.79</v>
      </c>
      <c r="I127" s="35"/>
      <c r="J127" s="35"/>
      <c r="K127" s="12"/>
      <c r="L127" s="12"/>
      <c r="M127" s="13"/>
      <c r="N127" s="13"/>
    </row>
    <row r="128" spans="1:14" hidden="1" outlineLevel="1" x14ac:dyDescent="0.25">
      <c r="A128" s="1" t="str">
        <f>IF(L128="","",MAX($A$1:$A127)+1)</f>
        <v/>
      </c>
      <c r="B128" s="37"/>
      <c r="C128" s="68"/>
      <c r="D128" s="60"/>
      <c r="E128" s="35"/>
      <c r="F128" s="43"/>
      <c r="G128" s="35"/>
      <c r="H128" s="43">
        <v>0.49</v>
      </c>
      <c r="I128" s="35" t="s">
        <v>17</v>
      </c>
      <c r="J128" s="43">
        <f>SUM(H108:H128)</f>
        <v>392</v>
      </c>
      <c r="K128" s="12"/>
      <c r="L128" s="12"/>
      <c r="M128" s="13"/>
      <c r="N128" s="13"/>
    </row>
    <row r="129" spans="1:14" collapsed="1" x14ac:dyDescent="0.25">
      <c r="A129" s="1" t="str">
        <f>IF(L129="","",MAX($A$1:$A128)+1)</f>
        <v/>
      </c>
      <c r="B129" s="12"/>
      <c r="C129" s="71" t="s">
        <v>106</v>
      </c>
      <c r="D129" s="44"/>
      <c r="E129" s="35"/>
      <c r="F129" s="35"/>
      <c r="G129" s="35"/>
      <c r="H129" s="35"/>
      <c r="I129" s="35"/>
      <c r="J129" s="35"/>
      <c r="K129" s="12"/>
      <c r="L129" s="12"/>
      <c r="M129" s="13"/>
      <c r="N129" s="13"/>
    </row>
    <row r="130" spans="1:14" x14ac:dyDescent="0.25">
      <c r="A130" s="1">
        <f>IF(L130="","",MAX($A$1:$A129)+1)</f>
        <v>17</v>
      </c>
      <c r="B130" s="12" t="s">
        <v>168</v>
      </c>
      <c r="C130" s="67" t="s">
        <v>161</v>
      </c>
      <c r="D130" s="34" t="s">
        <v>150</v>
      </c>
      <c r="E130" s="35" t="s">
        <v>17</v>
      </c>
      <c r="F130" s="43">
        <f>H103</f>
        <v>115</v>
      </c>
      <c r="G130" s="35"/>
      <c r="H130" s="35"/>
      <c r="I130" s="35"/>
      <c r="J130" s="35"/>
      <c r="K130" s="12" t="s">
        <v>9</v>
      </c>
      <c r="L130" s="15">
        <v>115</v>
      </c>
      <c r="M130" s="13"/>
      <c r="N130" s="13">
        <f>M130*L130</f>
        <v>0</v>
      </c>
    </row>
    <row r="131" spans="1:14" x14ac:dyDescent="0.25">
      <c r="A131" s="1">
        <f>IF(L131="","",MAX($A$1:$A130)+1)</f>
        <v>18</v>
      </c>
      <c r="B131" s="12" t="s">
        <v>168</v>
      </c>
      <c r="C131" s="46" t="s">
        <v>105</v>
      </c>
      <c r="D131" s="34" t="s">
        <v>150</v>
      </c>
      <c r="E131" s="35" t="s">
        <v>17</v>
      </c>
      <c r="F131" s="43">
        <f>J128</f>
        <v>392</v>
      </c>
      <c r="G131" s="35"/>
      <c r="H131" s="43"/>
      <c r="I131" s="35"/>
      <c r="J131" s="35"/>
      <c r="K131" s="12" t="s">
        <v>9</v>
      </c>
      <c r="L131" s="15">
        <v>392</v>
      </c>
      <c r="M131" s="13"/>
      <c r="N131" s="13">
        <f>M131*L131</f>
        <v>0</v>
      </c>
    </row>
    <row r="132" spans="1:14" x14ac:dyDescent="0.25">
      <c r="A132" s="1" t="str">
        <f>IF(L132="","",MAX($A$1:$A131)+1)</f>
        <v/>
      </c>
      <c r="B132" s="37"/>
      <c r="C132" s="75"/>
      <c r="D132" s="34"/>
      <c r="E132" s="35"/>
      <c r="F132" s="35"/>
      <c r="G132" s="35"/>
      <c r="H132" s="35"/>
      <c r="I132" s="35"/>
      <c r="J132" s="35"/>
      <c r="K132" s="12"/>
      <c r="L132" s="12"/>
      <c r="M132" s="13"/>
      <c r="N132" s="13"/>
    </row>
    <row r="133" spans="1:14" x14ac:dyDescent="0.25">
      <c r="A133" s="1" t="str">
        <f>IF(L133="","",MAX($A$1:$A132)+1)</f>
        <v/>
      </c>
      <c r="B133" s="37" t="s">
        <v>172</v>
      </c>
      <c r="C133" s="75" t="s">
        <v>52</v>
      </c>
      <c r="D133" s="34"/>
      <c r="E133" s="35"/>
      <c r="F133" s="35"/>
      <c r="G133" s="35"/>
      <c r="H133" s="35"/>
      <c r="I133" s="35"/>
      <c r="J133" s="35"/>
      <c r="K133" s="12"/>
      <c r="L133" s="12"/>
      <c r="M133" s="13"/>
      <c r="N133" s="13"/>
    </row>
    <row r="134" spans="1:14" x14ac:dyDescent="0.25">
      <c r="A134" s="1" t="str">
        <f>IF(L134="","",MAX($A$1:$A133)+1)</f>
        <v/>
      </c>
      <c r="B134" s="124"/>
      <c r="C134" s="78"/>
      <c r="D134" s="34"/>
      <c r="E134" s="35"/>
      <c r="F134" s="35"/>
      <c r="G134" s="35"/>
      <c r="H134" s="35"/>
      <c r="I134" s="35"/>
      <c r="J134" s="35"/>
      <c r="K134" s="12"/>
      <c r="L134" s="12"/>
      <c r="M134" s="13"/>
      <c r="N134" s="13"/>
    </row>
    <row r="135" spans="1:14" s="8" customFormat="1" x14ac:dyDescent="0.25">
      <c r="A135" s="1">
        <f>IF(L135="","",MAX($A$1:$A134)+1)</f>
        <v>19</v>
      </c>
      <c r="B135" s="37" t="s">
        <v>172</v>
      </c>
      <c r="C135" s="80" t="s">
        <v>107</v>
      </c>
      <c r="D135" s="60" t="s">
        <v>151</v>
      </c>
      <c r="E135" s="61" t="s">
        <v>17</v>
      </c>
      <c r="F135" s="69">
        <f>J128</f>
        <v>392</v>
      </c>
      <c r="G135" s="61"/>
      <c r="H135" s="61"/>
      <c r="I135" s="61"/>
      <c r="J135" s="61"/>
      <c r="K135" s="16" t="s">
        <v>9</v>
      </c>
      <c r="L135" s="17">
        <v>392</v>
      </c>
      <c r="M135" s="13"/>
      <c r="N135" s="13">
        <f>M135*L135</f>
        <v>0</v>
      </c>
    </row>
    <row r="136" spans="1:14" s="14" customFormat="1" ht="11.25" x14ac:dyDescent="0.2">
      <c r="A136" s="1" t="str">
        <f>IF(L136="","",MAX($A$1:$A135)+1)</f>
        <v/>
      </c>
      <c r="B136" s="12"/>
      <c r="C136" s="26"/>
      <c r="D136" s="34"/>
      <c r="E136" s="35"/>
      <c r="F136" s="35"/>
      <c r="G136" s="35"/>
      <c r="H136" s="35"/>
      <c r="I136" s="35"/>
      <c r="J136" s="35"/>
      <c r="K136" s="12"/>
      <c r="L136" s="12"/>
      <c r="M136" s="13"/>
      <c r="N136" s="13"/>
    </row>
    <row r="137" spans="1:14" s="14" customFormat="1" ht="11.25" x14ac:dyDescent="0.2">
      <c r="A137" s="1">
        <f>IF(L137="","",MAX($A$1:$A136)+1)</f>
        <v>20</v>
      </c>
      <c r="B137" s="37" t="s">
        <v>173</v>
      </c>
      <c r="C137" s="123" t="s">
        <v>54</v>
      </c>
      <c r="D137" s="34"/>
      <c r="E137" s="35"/>
      <c r="F137" s="35"/>
      <c r="G137" s="35"/>
      <c r="H137" s="35"/>
      <c r="I137" s="35"/>
      <c r="J137" s="35"/>
      <c r="K137" s="12" t="s">
        <v>4</v>
      </c>
      <c r="L137" s="12">
        <v>1</v>
      </c>
      <c r="M137" s="13"/>
      <c r="N137" s="13">
        <f t="shared" ref="N137" si="0">M137*L137</f>
        <v>0</v>
      </c>
    </row>
    <row r="138" spans="1:14" s="14" customFormat="1" ht="11.25" x14ac:dyDescent="0.2">
      <c r="A138" s="1" t="str">
        <f>IF(L138="","",MAX($A$1:$A137)+1)</f>
        <v/>
      </c>
      <c r="B138" s="12"/>
      <c r="C138" s="74"/>
      <c r="D138" s="34"/>
      <c r="E138" s="35"/>
      <c r="F138" s="35"/>
      <c r="G138" s="35"/>
      <c r="H138" s="35"/>
      <c r="I138" s="35"/>
      <c r="J138" s="35"/>
      <c r="K138" s="12"/>
      <c r="L138" s="12"/>
      <c r="M138" s="13"/>
      <c r="N138" s="13"/>
    </row>
    <row r="139" spans="1:14" s="14" customFormat="1" ht="11.25" x14ac:dyDescent="0.2">
      <c r="A139" s="1">
        <f>IF(L139="","",MAX($A$1:$A138)+1)</f>
        <v>21</v>
      </c>
      <c r="B139" s="37" t="s">
        <v>174</v>
      </c>
      <c r="C139" s="123" t="s">
        <v>18</v>
      </c>
      <c r="D139" s="34"/>
      <c r="E139" s="35"/>
      <c r="F139" s="35"/>
      <c r="G139" s="35"/>
      <c r="H139" s="35"/>
      <c r="I139" s="35"/>
      <c r="J139" s="35"/>
      <c r="K139" s="12" t="s">
        <v>4</v>
      </c>
      <c r="L139" s="12">
        <v>1</v>
      </c>
      <c r="M139" s="13"/>
      <c r="N139" s="13">
        <f t="shared" ref="N139" si="1">M139*L139</f>
        <v>0</v>
      </c>
    </row>
    <row r="140" spans="1:14" s="21" customFormat="1" ht="14.25" x14ac:dyDescent="0.2">
      <c r="A140" s="1" t="str">
        <f>IF(L140="","",MAX($A$1:$A139)+1)</f>
        <v/>
      </c>
      <c r="B140" s="10"/>
      <c r="C140" s="95"/>
      <c r="D140" s="96"/>
      <c r="E140" s="97"/>
      <c r="F140" s="97"/>
      <c r="G140" s="97"/>
      <c r="H140" s="97"/>
      <c r="I140" s="97"/>
      <c r="J140" s="97"/>
      <c r="K140" s="98"/>
      <c r="L140" s="98"/>
      <c r="M140" s="99"/>
      <c r="N140" s="94"/>
    </row>
    <row r="141" spans="1:14" s="21" customFormat="1" ht="14.25" x14ac:dyDescent="0.2">
      <c r="A141" s="1" t="str">
        <f>IF(L141="","",MAX($A$1:$A140)+1)</f>
        <v/>
      </c>
      <c r="B141" s="10"/>
      <c r="C141" s="149" t="s">
        <v>152</v>
      </c>
      <c r="D141" s="150"/>
      <c r="E141" s="150"/>
      <c r="F141" s="150"/>
      <c r="G141" s="150"/>
      <c r="H141" s="150"/>
      <c r="I141" s="150"/>
      <c r="J141" s="150"/>
      <c r="K141" s="150"/>
      <c r="L141" s="150"/>
      <c r="M141" s="151"/>
      <c r="N141" s="100">
        <f>SUM(N9:N139)</f>
        <v>0</v>
      </c>
    </row>
    <row r="142" spans="1:14" s="21" customFormat="1" ht="14.25" x14ac:dyDescent="0.2">
      <c r="A142" s="1" t="str">
        <f>IF(L142="","",MAX($A$1:$A141)+1)</f>
        <v/>
      </c>
      <c r="B142" s="10"/>
      <c r="C142" s="152" t="s">
        <v>13</v>
      </c>
      <c r="D142" s="153"/>
      <c r="E142" s="153"/>
      <c r="F142" s="153"/>
      <c r="G142" s="153"/>
      <c r="H142" s="153"/>
      <c r="I142" s="153"/>
      <c r="J142" s="153"/>
      <c r="K142" s="153"/>
      <c r="L142" s="153"/>
      <c r="M142" s="154"/>
      <c r="N142" s="101">
        <f>0.2*N141</f>
        <v>0</v>
      </c>
    </row>
    <row r="143" spans="1:14" s="21" customFormat="1" x14ac:dyDescent="0.2">
      <c r="A143" s="1" t="str">
        <f>IF(L143="","",MAX($A$1:$A142)+1)</f>
        <v/>
      </c>
      <c r="B143" s="10"/>
      <c r="C143" s="155" t="s">
        <v>153</v>
      </c>
      <c r="D143" s="156"/>
      <c r="E143" s="156"/>
      <c r="F143" s="156"/>
      <c r="G143" s="156"/>
      <c r="H143" s="156"/>
      <c r="I143" s="156"/>
      <c r="J143" s="156"/>
      <c r="K143" s="156"/>
      <c r="L143" s="156"/>
      <c r="M143" s="157"/>
      <c r="N143" s="118">
        <f>N142+N141</f>
        <v>0</v>
      </c>
    </row>
    <row r="144" spans="1:14" x14ac:dyDescent="0.25">
      <c r="A144" s="103"/>
      <c r="B144" s="104"/>
      <c r="C144" s="114"/>
      <c r="D144" s="115"/>
      <c r="E144" s="116"/>
      <c r="F144" s="116"/>
      <c r="G144" s="116"/>
      <c r="H144" s="116"/>
      <c r="I144" s="116"/>
      <c r="J144" s="116"/>
      <c r="K144" s="104"/>
      <c r="L144" s="104"/>
      <c r="M144" s="117"/>
      <c r="N144" s="117"/>
    </row>
  </sheetData>
  <mergeCells count="4">
    <mergeCell ref="D1:J1"/>
    <mergeCell ref="C141:M141"/>
    <mergeCell ref="C142:M142"/>
    <mergeCell ref="C143:M143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PG</vt:lpstr>
      <vt:lpstr> LOT 04 -TF </vt:lpstr>
      <vt:lpstr>LOT 04 - TO 1 </vt:lpstr>
      <vt:lpstr>LOT 04 -TO 2 </vt:lpstr>
      <vt:lpstr>' LOT 04 -TF '!Zone_d_impression</vt:lpstr>
      <vt:lpstr>'LOT 04 - TO 1 '!Zone_d_impression</vt:lpstr>
      <vt:lpstr>'LOT 04 -TO 2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Amélia Soria</dc:creator>
  <cp:lastModifiedBy>Isabelle SALORD</cp:lastModifiedBy>
  <cp:lastPrinted>2024-11-21T16:48:17Z</cp:lastPrinted>
  <dcterms:created xsi:type="dcterms:W3CDTF">2023-04-06T06:45:18Z</dcterms:created>
  <dcterms:modified xsi:type="dcterms:W3CDTF">2025-01-16T14:18:58Z</dcterms:modified>
</cp:coreProperties>
</file>