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11_OPERATIONS\SENAT\23_150_Palais_Façade Nord\08_CONSULTATIONS\01_DCE\Définitif\"/>
    </mc:Choice>
  </mc:AlternateContent>
  <xr:revisionPtr revIDLastSave="0" documentId="13_ncr:1_{32C0F138-CD4B-4AD3-9FC6-37867BBDDE24}" xr6:coauthVersionLast="47" xr6:coauthVersionMax="47" xr10:uidLastSave="{00000000-0000-0000-0000-000000000000}"/>
  <bookViews>
    <workbookView xWindow="-120" yWindow="-120" windowWidth="29040" windowHeight="15840" tabRatio="817" activeTab="2" xr2:uid="{00000000-000D-0000-FFFF-FFFF00000000}"/>
  </bookViews>
  <sheets>
    <sheet name="PG" sheetId="37" r:id="rId1"/>
    <sheet name=" LOT 04 -TF " sheetId="34" r:id="rId2"/>
    <sheet name="LOT 04 - TO 1 " sheetId="35" r:id="rId3"/>
    <sheet name="LOT 04 -TO 2 " sheetId="36" r:id="rId4"/>
  </sheets>
  <externalReferences>
    <externalReference r:id="rId5"/>
    <externalReference r:id="rId6"/>
  </externalReferences>
  <definedNames>
    <definedName name="________b2">'[1]Hono TF'!#REF!</definedName>
    <definedName name="________b3">'[1]Hono TF'!#REF!</definedName>
    <definedName name="________bb1">'[1]Hono TF'!#REF!</definedName>
    <definedName name="________bb3">'[1]Hono TF'!#REF!</definedName>
    <definedName name="________bb4">'[1]Hono TF'!#REF!</definedName>
    <definedName name="________bb5">'[1]Hono TF'!#REF!</definedName>
    <definedName name="________bb6">'[1]Hono TF'!#REF!</definedName>
    <definedName name="________op1">'[1]Hono TF'!#REF!</definedName>
    <definedName name="________op2">'[1]Hono TF'!#REF!</definedName>
    <definedName name="________op3">'[1]Hono TF'!#REF!</definedName>
    <definedName name="_01_03_1994">#REF!</definedName>
    <definedName name="_A1">#REF!</definedName>
    <definedName name="_A2">#REF!</definedName>
    <definedName name="_A3">#REF!</definedName>
    <definedName name="_A4">#REF!</definedName>
    <definedName name="_A5">#REF!</definedName>
    <definedName name="_A6">#REF!</definedName>
    <definedName name="_A71">#REF!</definedName>
    <definedName name="_A72">#REF!</definedName>
    <definedName name="_A73">#REF!</definedName>
    <definedName name="_b1">#REF!</definedName>
    <definedName name="_B71">#REF!</definedName>
    <definedName name="_B72">#REF!</definedName>
    <definedName name="_B73">#REF!</definedName>
    <definedName name="_bb2">#REF!</definedName>
    <definedName name="_bt01">#REF!</definedName>
    <definedName name="_D1">#REF!</definedName>
    <definedName name="_D2">#REF!</definedName>
    <definedName name="_D3">#REF!</definedName>
    <definedName name="_D4">#REF!</definedName>
    <definedName name="_D5">#REF!</definedName>
    <definedName name="_D6">#REF!</definedName>
    <definedName name="_ht1">#REF!</definedName>
    <definedName name="_ht2">#REF!</definedName>
    <definedName name="_ii1">#REF!</definedName>
    <definedName name="_ii2">#REF!</definedName>
    <definedName name="_II3">#REF!</definedName>
    <definedName name="_II4">#REF!</definedName>
    <definedName name="_MD1">#REF!</definedName>
    <definedName name="_MD2">#REF!</definedName>
    <definedName name="_MD4">#REF!</definedName>
    <definedName name="_MD5">#REF!</definedName>
    <definedName name="_MD6">#REF!</definedName>
    <definedName name="_MT1">#REF!</definedName>
    <definedName name="_MT2">#REF!</definedName>
    <definedName name="_MT3">#REF!</definedName>
    <definedName name="_MT4">#REF!</definedName>
    <definedName name="_MT5">#REF!</definedName>
    <definedName name="_MT6">#REF!</definedName>
    <definedName name="_MT7">#REF!</definedName>
    <definedName name="_T1">#REF!</definedName>
    <definedName name="_T2">#REF!</definedName>
    <definedName name="_T3">#REF!</definedName>
    <definedName name="_T4">#REF!</definedName>
    <definedName name="_T5">#REF!</definedName>
    <definedName name="_T6">#REF!</definedName>
    <definedName name="_T7">#REF!</definedName>
    <definedName name="_TX1">#REF!</definedName>
    <definedName name="_TX2">#REF!</definedName>
    <definedName name="_TX3">#REF!</definedName>
    <definedName name="_TX4">#REF!</definedName>
    <definedName name="_V1">#REF!</definedName>
    <definedName name="_V2">#REF!</definedName>
    <definedName name="_V3">#REF!</definedName>
    <definedName name="_V4">#REF!</definedName>
    <definedName name="_V5">#REF!</definedName>
    <definedName name="a">#REF!</definedName>
    <definedName name="AfficherFormule">[2]!AfficherFormule</definedName>
    <definedName name="AIIIA">#REF!</definedName>
    <definedName name="AIIIAA">#REF!</definedName>
    <definedName name="AIIIV">#REF!</definedName>
    <definedName name="AIIIVA">#REF!</definedName>
    <definedName name="B3A">#REF!</definedName>
    <definedName name="B3AA">#REF!</definedName>
    <definedName name="B3V">#REF!</definedName>
    <definedName name="B3VA">#REF!</definedName>
    <definedName name="_xlnm.Database">#REF!</definedName>
    <definedName name="bba">'[1]Hono TF'!#REF!</definedName>
    <definedName name="bbv">'[1]Hono TF'!#REF!</definedName>
    <definedName name="bht">#REF!</definedName>
    <definedName name="BRA">#REF!</definedName>
    <definedName name="BRATER">#REF!</definedName>
    <definedName name="BRV">#REF!</definedName>
    <definedName name="BRVTER">#REF!</definedName>
    <definedName name="chap">#REF!</definedName>
    <definedName name="COEF_MINO">#REF!</definedName>
    <definedName name="css">'[1]Hono TF'!#REF!</definedName>
    <definedName name="CSSA">#REF!</definedName>
    <definedName name="début_sortie">#REF!</definedName>
    <definedName name="depart">'[1]Hono TF'!#REF!</definedName>
    <definedName name="dfg">#REF!</definedName>
    <definedName name="dg">#REF!</definedName>
    <definedName name="dmj">#REF!</definedName>
    <definedName name="dtcr">#REF!</definedName>
    <definedName name="e">#REF!</definedName>
    <definedName name="edi">'[1]Hono TF'!#REF!</definedName>
    <definedName name="ezatrdtyfty">#REF!</definedName>
    <definedName name="fghfgfdss">#REF!</definedName>
    <definedName name="ghfghfghf">#REF!</definedName>
    <definedName name="HONOA">#REF!</definedName>
    <definedName name="HONOV">#REF!</definedName>
    <definedName name="I">#REF!</definedName>
    <definedName name="IIA">#REF!</definedName>
    <definedName name="IIB">#REF!</definedName>
    <definedName name="jghj">#REF!</definedName>
    <definedName name="jhfkghfghfghf">#REF!</definedName>
    <definedName name="jhljkjgjgjhg">#REF!</definedName>
    <definedName name="jkjhjh">#REF!</definedName>
    <definedName name="jkjkhfghfg">#REF!</definedName>
    <definedName name="kyho">#REF!</definedName>
    <definedName name="kyuo">#REF!</definedName>
    <definedName name="loca">'[1]Hono TF'!#REF!</definedName>
    <definedName name="mm_aa">#REF!</definedName>
    <definedName name="MMP">#REF!</definedName>
    <definedName name="MNC">#REF!</definedName>
    <definedName name="MP">#REF!</definedName>
    <definedName name="MPB">#REF!</definedName>
    <definedName name="MPT">#REF!</definedName>
    <definedName name="NC">#REF!</definedName>
    <definedName name="niv_comp">#REF!</definedName>
    <definedName name="nof">#REF!</definedName>
    <definedName name="nofi">#REF!</definedName>
    <definedName name="notr">#REF!</definedName>
    <definedName name="nvcomp">'[1]Hono TF'!#REF!</definedName>
    <definedName name="oipjiojioyyt">#REF!</definedName>
    <definedName name="q">#REF!</definedName>
    <definedName name="reyttyf">#REF!</definedName>
    <definedName name="rz">#REF!</definedName>
    <definedName name="s">#REF!</definedName>
    <definedName name="sesese">#REF!</definedName>
    <definedName name="treoiopjipo">#REF!</definedName>
    <definedName name="TX3A">#REF!</definedName>
    <definedName name="TX3B">#REF!</definedName>
    <definedName name="TXA">#REF!</definedName>
    <definedName name="txaa">'[1]Hono TF'!#REF!</definedName>
    <definedName name="TXB">#REF!</definedName>
    <definedName name="txv">'[1]Hono TF'!#REF!</definedName>
    <definedName name="txva">'[1]Hono TF'!#REF!</definedName>
    <definedName name="u">[2]!AfficherFormule</definedName>
    <definedName name="uytfiuygyug">#REF!</definedName>
    <definedName name="va">'[1]Hono TF'!#REF!</definedName>
    <definedName name="VIA">#REF!</definedName>
    <definedName name="VIV">#REF!</definedName>
    <definedName name="vma">'[1]Hono TF'!#REF!</definedName>
    <definedName name="vmv">'[1]Hono TF'!#REF!</definedName>
    <definedName name="vsdgv">#REF!</definedName>
    <definedName name="vv">'[1]Hono TF'!#REF!</definedName>
    <definedName name="ygyugftyf">#REF!</definedName>
    <definedName name="yutgyutrezeaz">#REF!</definedName>
    <definedName name="yutlioopin">#REF!</definedName>
    <definedName name="z">#REF!</definedName>
    <definedName name="zearaze">#REF!</definedName>
    <definedName name="_xlnm.Print_Area" localSheetId="1">' LOT 04 -TF '!$A$1:$N$156</definedName>
    <definedName name="_xlnm.Print_Area" localSheetId="2">'LOT 04 - TO 1 '!$A$1:$N$66</definedName>
    <definedName name="_xlnm.Print_Area" localSheetId="3">'LOT 04 -TO 2 '!$A$1:$N$121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51" i="35" l="1"/>
  <c r="A107" i="36"/>
  <c r="A92" i="36"/>
  <c r="A91" i="36"/>
  <c r="A88" i="36"/>
  <c r="A82" i="36"/>
  <c r="A81" i="36"/>
  <c r="A79" i="36"/>
  <c r="A78" i="36"/>
  <c r="A67" i="36"/>
  <c r="N66" i="36"/>
  <c r="F66" i="36"/>
  <c r="A146" i="34"/>
  <c r="A139" i="34"/>
  <c r="A136" i="34"/>
  <c r="A135" i="34"/>
  <c r="A112" i="34"/>
  <c r="A102" i="34"/>
  <c r="A101" i="34"/>
  <c r="A79" i="34"/>
  <c r="A66" i="34"/>
  <c r="A61" i="34"/>
  <c r="A60" i="34"/>
  <c r="A59" i="34"/>
  <c r="F45" i="35" l="1"/>
  <c r="F90" i="36"/>
  <c r="J90" i="36" s="1"/>
  <c r="F47" i="35"/>
  <c r="J47" i="35" s="1"/>
  <c r="N47" i="35" s="1"/>
  <c r="N23" i="35"/>
  <c r="F24" i="35"/>
  <c r="J24" i="35" s="1"/>
  <c r="N25" i="35"/>
  <c r="A26" i="35"/>
  <c r="F26" i="35"/>
  <c r="F27" i="35" s="1"/>
  <c r="N26" i="35"/>
  <c r="A27" i="35"/>
  <c r="N27" i="35"/>
  <c r="A28" i="35"/>
  <c r="N28" i="35"/>
  <c r="A29" i="35"/>
  <c r="F29" i="35"/>
  <c r="A30" i="35"/>
  <c r="N30" i="35"/>
  <c r="A17" i="35"/>
  <c r="F17" i="35"/>
  <c r="N17" i="35"/>
  <c r="A18" i="35"/>
  <c r="F18" i="35"/>
  <c r="N18" i="35"/>
  <c r="A19" i="35"/>
  <c r="F19" i="35"/>
  <c r="N19" i="35"/>
  <c r="A20" i="35"/>
  <c r="F20" i="35"/>
  <c r="N20" i="35"/>
  <c r="A21" i="35"/>
  <c r="F21" i="35"/>
  <c r="N21" i="35"/>
  <c r="A22" i="35"/>
  <c r="N22" i="35"/>
  <c r="A15" i="35"/>
  <c r="N45" i="35" l="1"/>
  <c r="N90" i="36"/>
  <c r="F28" i="35"/>
  <c r="H30" i="35" s="1"/>
  <c r="N24" i="35"/>
  <c r="H22" i="35"/>
  <c r="F46" i="35" l="1"/>
  <c r="N46" i="35" s="1"/>
  <c r="N16" i="35"/>
  <c r="N116" i="36" l="1"/>
  <c r="A61" i="35"/>
  <c r="N60" i="35"/>
  <c r="N150" i="34"/>
  <c r="N116" i="34"/>
  <c r="A73" i="34"/>
  <c r="N72" i="34"/>
  <c r="N109" i="36"/>
  <c r="N114" i="36"/>
  <c r="N58" i="35"/>
  <c r="N148" i="34"/>
  <c r="N114" i="34"/>
  <c r="N82" i="34"/>
  <c r="F87" i="36" l="1"/>
  <c r="N97" i="36"/>
  <c r="F96" i="36"/>
  <c r="J96" i="36" s="1"/>
  <c r="F95" i="36"/>
  <c r="N77" i="36"/>
  <c r="N76" i="36"/>
  <c r="N88" i="36"/>
  <c r="N106" i="36"/>
  <c r="N42" i="35"/>
  <c r="A41" i="35"/>
  <c r="A40" i="35"/>
  <c r="F39" i="35"/>
  <c r="A39" i="35"/>
  <c r="F38" i="35"/>
  <c r="A38" i="35"/>
  <c r="F37" i="35"/>
  <c r="A37" i="35"/>
  <c r="F36" i="35"/>
  <c r="A36" i="35"/>
  <c r="F35" i="35"/>
  <c r="A35" i="35"/>
  <c r="N33" i="35"/>
  <c r="F32" i="35"/>
  <c r="J32" i="35" s="1"/>
  <c r="N138" i="34"/>
  <c r="F60" i="34"/>
  <c r="J60" i="34" s="1"/>
  <c r="A64" i="34"/>
  <c r="F64" i="34"/>
  <c r="J64" i="34" s="1"/>
  <c r="N63" i="34" s="1"/>
  <c r="F61" i="34"/>
  <c r="J61" i="34" s="1"/>
  <c r="F62" i="34"/>
  <c r="A68" i="34"/>
  <c r="F68" i="34"/>
  <c r="J68" i="34" s="1"/>
  <c r="N58" i="34"/>
  <c r="A57" i="34"/>
  <c r="A45" i="34"/>
  <c r="F45" i="34"/>
  <c r="A46" i="34"/>
  <c r="A44" i="34"/>
  <c r="F44" i="34"/>
  <c r="N53" i="34"/>
  <c r="F50" i="35"/>
  <c r="J50" i="35" s="1"/>
  <c r="F145" i="34"/>
  <c r="J145" i="34" s="1"/>
  <c r="F111" i="34"/>
  <c r="J111" i="34" s="1"/>
  <c r="N104" i="34"/>
  <c r="J103" i="34"/>
  <c r="N87" i="36" l="1"/>
  <c r="N95" i="36"/>
  <c r="N96" i="36"/>
  <c r="H40" i="35"/>
  <c r="N34" i="35" s="1"/>
  <c r="F43" i="35"/>
  <c r="N60" i="34"/>
  <c r="N62" i="34"/>
  <c r="N61" i="34"/>
  <c r="H46" i="34"/>
  <c r="N50" i="35"/>
  <c r="N145" i="34"/>
  <c r="N111" i="34"/>
  <c r="N103" i="34"/>
  <c r="N43" i="35" l="1"/>
  <c r="N32" i="35"/>
  <c r="N78" i="34"/>
  <c r="A11" i="34"/>
  <c r="A12" i="34"/>
  <c r="A13" i="34"/>
  <c r="A14" i="34"/>
  <c r="A15" i="34"/>
  <c r="A17" i="34"/>
  <c r="A22" i="34"/>
  <c r="A23" i="34"/>
  <c r="A24" i="34"/>
  <c r="A25" i="34"/>
  <c r="A26" i="34"/>
  <c r="A27" i="34"/>
  <c r="A28" i="34"/>
  <c r="A29" i="34"/>
  <c r="A30" i="34"/>
  <c r="A31" i="34"/>
  <c r="A32" i="34"/>
  <c r="A33" i="34"/>
  <c r="A34" i="34"/>
  <c r="A35" i="34"/>
  <c r="A36" i="34"/>
  <c r="A50" i="34"/>
  <c r="A54" i="34"/>
  <c r="A71" i="34"/>
  <c r="A74" i="34"/>
  <c r="A75" i="34"/>
  <c r="A83" i="34"/>
  <c r="A84" i="34"/>
  <c r="A85" i="34"/>
  <c r="A86" i="34"/>
  <c r="A87" i="34"/>
  <c r="A94" i="34"/>
  <c r="A108" i="34"/>
  <c r="A109" i="34"/>
  <c r="A115" i="34"/>
  <c r="A117" i="34"/>
  <c r="A118" i="34"/>
  <c r="A119" i="34"/>
  <c r="A120" i="34"/>
  <c r="A121" i="34"/>
  <c r="A128" i="34"/>
  <c r="A142" i="34"/>
  <c r="A143" i="34"/>
  <c r="A149" i="34"/>
  <c r="A151" i="34"/>
  <c r="A152" i="34"/>
  <c r="A153" i="34"/>
  <c r="A154" i="34"/>
  <c r="A9" i="34"/>
  <c r="A11" i="35"/>
  <c r="A12" i="35"/>
  <c r="A13" i="35"/>
  <c r="A14" i="35"/>
  <c r="A54" i="35"/>
  <c r="A55" i="35"/>
  <c r="A59" i="35"/>
  <c r="A62" i="35"/>
  <c r="A63" i="35"/>
  <c r="A64" i="35"/>
  <c r="A65" i="35"/>
  <c r="A9" i="35"/>
  <c r="F102" i="36" l="1"/>
  <c r="F103" i="36"/>
  <c r="F101" i="36"/>
  <c r="F100" i="36"/>
  <c r="F52" i="34" l="1"/>
  <c r="H104" i="36"/>
  <c r="A12" i="36"/>
  <c r="A13" i="36"/>
  <c r="A14" i="36"/>
  <c r="A16" i="36"/>
  <c r="A19" i="36"/>
  <c r="A20" i="36"/>
  <c r="A21" i="36"/>
  <c r="A22" i="36"/>
  <c r="A23" i="36"/>
  <c r="A24" i="36"/>
  <c r="A25" i="36"/>
  <c r="A27" i="36"/>
  <c r="A28" i="36"/>
  <c r="A29" i="36"/>
  <c r="A30" i="36"/>
  <c r="A31" i="36"/>
  <c r="A32" i="36"/>
  <c r="A34" i="36"/>
  <c r="A35" i="36"/>
  <c r="A36" i="36"/>
  <c r="A37" i="36"/>
  <c r="A38" i="36"/>
  <c r="A39" i="36"/>
  <c r="A44" i="36"/>
  <c r="A46" i="36"/>
  <c r="A47" i="36"/>
  <c r="A48" i="36"/>
  <c r="A50" i="36"/>
  <c r="A51" i="36"/>
  <c r="A52" i="36"/>
  <c r="A55" i="36"/>
  <c r="A56" i="36"/>
  <c r="A57" i="36"/>
  <c r="A62" i="36"/>
  <c r="A63" i="36"/>
  <c r="A64" i="36"/>
  <c r="A70" i="36"/>
  <c r="A73" i="36"/>
  <c r="A75" i="36"/>
  <c r="A110" i="36"/>
  <c r="A111" i="36"/>
  <c r="A115" i="36"/>
  <c r="A117" i="36"/>
  <c r="A118" i="36"/>
  <c r="A119" i="36"/>
  <c r="A120" i="36"/>
  <c r="A121" i="36"/>
  <c r="N69" i="36"/>
  <c r="A8" i="35"/>
  <c r="A7" i="35"/>
  <c r="A155" i="34"/>
  <c r="A156" i="34"/>
  <c r="N41" i="34"/>
  <c r="N52" i="34" l="1"/>
  <c r="F18" i="34" l="1"/>
  <c r="F84" i="36"/>
  <c r="F41" i="36"/>
  <c r="A6" i="35"/>
  <c r="A7" i="34"/>
  <c r="A6" i="34"/>
  <c r="A8" i="34"/>
  <c r="A5" i="34"/>
  <c r="F112" i="36"/>
  <c r="J112" i="36" s="1"/>
  <c r="F113" i="36" s="1"/>
  <c r="N113" i="36" s="1"/>
  <c r="F108" i="36"/>
  <c r="J108" i="36" s="1"/>
  <c r="N108" i="36" s="1"/>
  <c r="N107" i="36"/>
  <c r="N85" i="36"/>
  <c r="N84" i="36"/>
  <c r="F75" i="36"/>
  <c r="J75" i="36" s="1"/>
  <c r="N74" i="36" s="1"/>
  <c r="F67" i="36"/>
  <c r="J67" i="36" s="1"/>
  <c r="N64" i="36"/>
  <c r="N63" i="36"/>
  <c r="F63" i="36"/>
  <c r="N62" i="36"/>
  <c r="F62" i="36"/>
  <c r="F60" i="36"/>
  <c r="J60" i="36" s="1"/>
  <c r="F59" i="36"/>
  <c r="J59" i="36" s="1"/>
  <c r="N58" i="36"/>
  <c r="F56" i="36"/>
  <c r="F55" i="36"/>
  <c r="F53" i="36"/>
  <c r="J53" i="36" s="1"/>
  <c r="F51" i="36"/>
  <c r="F50" i="36"/>
  <c r="N48" i="36"/>
  <c r="N47" i="36"/>
  <c r="F47" i="36"/>
  <c r="F46" i="36"/>
  <c r="F44" i="36"/>
  <c r="J44" i="36" s="1"/>
  <c r="N42" i="36"/>
  <c r="N41" i="36"/>
  <c r="F40" i="36"/>
  <c r="J40" i="36" s="1"/>
  <c r="F83" i="36" s="1"/>
  <c r="N83" i="36" s="1"/>
  <c r="F38" i="36"/>
  <c r="F37" i="36"/>
  <c r="F36" i="36"/>
  <c r="F35" i="36"/>
  <c r="F34" i="36"/>
  <c r="F31" i="36"/>
  <c r="F30" i="36"/>
  <c r="F29" i="36"/>
  <c r="F28" i="36"/>
  <c r="F27" i="36"/>
  <c r="F24" i="36"/>
  <c r="F23" i="36"/>
  <c r="F22" i="36"/>
  <c r="F21" i="36"/>
  <c r="F20" i="36"/>
  <c r="F19" i="36"/>
  <c r="N17" i="36"/>
  <c r="F17" i="36"/>
  <c r="J17" i="36" s="1"/>
  <c r="F56" i="35"/>
  <c r="J56" i="35" s="1"/>
  <c r="N53" i="35"/>
  <c r="F52" i="35"/>
  <c r="J52" i="35" s="1"/>
  <c r="N52" i="35" s="1"/>
  <c r="N146" i="34"/>
  <c r="N144" i="34"/>
  <c r="F130" i="34"/>
  <c r="J130" i="34" s="1"/>
  <c r="N130" i="34" s="1"/>
  <c r="F127" i="34"/>
  <c r="F126" i="34"/>
  <c r="F124" i="34"/>
  <c r="J124" i="34" s="1"/>
  <c r="N124" i="34" s="1"/>
  <c r="F123" i="34"/>
  <c r="J123" i="34" s="1"/>
  <c r="N112" i="34"/>
  <c r="N110" i="34"/>
  <c r="F98" i="34"/>
  <c r="J98" i="34" s="1"/>
  <c r="N98" i="34" s="1"/>
  <c r="F97" i="34"/>
  <c r="J97" i="34" s="1"/>
  <c r="N97" i="34" s="1"/>
  <c r="F96" i="34"/>
  <c r="F93" i="34"/>
  <c r="J93" i="34" s="1"/>
  <c r="F92" i="34"/>
  <c r="F90" i="34"/>
  <c r="F89" i="34"/>
  <c r="J89" i="34" s="1"/>
  <c r="F77" i="34"/>
  <c r="J77" i="34" s="1"/>
  <c r="F76" i="34"/>
  <c r="J76" i="34" s="1"/>
  <c r="N70" i="34"/>
  <c r="F69" i="34"/>
  <c r="J69" i="34" s="1"/>
  <c r="N49" i="34"/>
  <c r="N48" i="34"/>
  <c r="F47" i="34"/>
  <c r="J47" i="34" s="1"/>
  <c r="N47" i="34" s="1"/>
  <c r="F40" i="34"/>
  <c r="J40" i="34" s="1"/>
  <c r="F39" i="34"/>
  <c r="J39" i="34" s="1"/>
  <c r="F37" i="34"/>
  <c r="J37" i="34" s="1"/>
  <c r="F65" i="34" s="1"/>
  <c r="F34" i="34"/>
  <c r="F33" i="34"/>
  <c r="F32" i="34"/>
  <c r="H32" i="34" s="1"/>
  <c r="F30" i="34"/>
  <c r="F29" i="34"/>
  <c r="F28" i="34"/>
  <c r="F27" i="34"/>
  <c r="F25" i="34"/>
  <c r="P55" i="34" s="1"/>
  <c r="F24" i="34"/>
  <c r="F23" i="34"/>
  <c r="F20" i="34"/>
  <c r="J20" i="34" s="1"/>
  <c r="N19" i="34"/>
  <c r="F19" i="34"/>
  <c r="J18" i="34"/>
  <c r="J10" i="34"/>
  <c r="A10" i="35" l="1"/>
  <c r="F94" i="36"/>
  <c r="J94" i="36" s="1"/>
  <c r="F89" i="36"/>
  <c r="F78" i="36"/>
  <c r="F137" i="34"/>
  <c r="J137" i="34" s="1"/>
  <c r="N123" i="34"/>
  <c r="F59" i="34"/>
  <c r="J59" i="34" s="1"/>
  <c r="N65" i="34"/>
  <c r="F133" i="34"/>
  <c r="J133" i="34" s="1"/>
  <c r="J90" i="34"/>
  <c r="N90" i="34" s="1"/>
  <c r="J96" i="34"/>
  <c r="N10" i="34"/>
  <c r="A10" i="34"/>
  <c r="A16" i="34" s="1"/>
  <c r="N40" i="34"/>
  <c r="N11" i="36"/>
  <c r="A11" i="36"/>
  <c r="H52" i="36"/>
  <c r="N59" i="36"/>
  <c r="N10" i="35"/>
  <c r="N76" i="34"/>
  <c r="N69" i="34"/>
  <c r="H34" i="34"/>
  <c r="F42" i="34"/>
  <c r="J42" i="34" s="1"/>
  <c r="N42" i="34" s="1"/>
  <c r="H57" i="36"/>
  <c r="N53" i="36"/>
  <c r="H25" i="34"/>
  <c r="F141" i="34"/>
  <c r="J141" i="34" s="1"/>
  <c r="N141" i="34" s="1"/>
  <c r="N131" i="34"/>
  <c r="H39" i="36"/>
  <c r="F82" i="36" s="1"/>
  <c r="N82" i="36" s="1"/>
  <c r="H31" i="34"/>
  <c r="J126" i="34"/>
  <c r="H64" i="36"/>
  <c r="J127" i="34"/>
  <c r="N127" i="34" s="1"/>
  <c r="J92" i="34"/>
  <c r="H48" i="36"/>
  <c r="F38" i="34"/>
  <c r="F73" i="36"/>
  <c r="J73" i="36" s="1"/>
  <c r="N72" i="36" s="1"/>
  <c r="H32" i="36"/>
  <c r="N15" i="36" s="1"/>
  <c r="F86" i="36"/>
  <c r="N86" i="36" s="1"/>
  <c r="F129" i="34"/>
  <c r="N129" i="34" s="1"/>
  <c r="N106" i="34"/>
  <c r="H25" i="36"/>
  <c r="N67" i="36"/>
  <c r="F80" i="34"/>
  <c r="N80" i="34" s="1"/>
  <c r="N147" i="34"/>
  <c r="F48" i="35"/>
  <c r="N48" i="35" s="1"/>
  <c r="F79" i="34"/>
  <c r="N113" i="34"/>
  <c r="N57" i="35"/>
  <c r="N56" i="35"/>
  <c r="N60" i="36"/>
  <c r="F93" i="36"/>
  <c r="N93" i="36" s="1"/>
  <c r="F49" i="35"/>
  <c r="N112" i="36"/>
  <c r="F107" i="34"/>
  <c r="J107" i="34" s="1"/>
  <c r="N107" i="34" s="1"/>
  <c r="F91" i="34"/>
  <c r="F91" i="36" l="1"/>
  <c r="N61" i="36"/>
  <c r="F92" i="36"/>
  <c r="N94" i="36"/>
  <c r="F65" i="36"/>
  <c r="N65" i="36" s="1"/>
  <c r="N89" i="36"/>
  <c r="N78" i="36"/>
  <c r="N49" i="36"/>
  <c r="F79" i="36"/>
  <c r="F80" i="36"/>
  <c r="N137" i="34"/>
  <c r="N134" i="34"/>
  <c r="N100" i="34"/>
  <c r="N59" i="34"/>
  <c r="N126" i="34"/>
  <c r="F135" i="34"/>
  <c r="N133" i="34"/>
  <c r="N96" i="34"/>
  <c r="N38" i="34"/>
  <c r="N37" i="34"/>
  <c r="N20" i="34"/>
  <c r="N102" i="34"/>
  <c r="N88" i="34"/>
  <c r="N39" i="34"/>
  <c r="A15" i="36"/>
  <c r="A17" i="36" s="1"/>
  <c r="N43" i="36"/>
  <c r="N40" i="36"/>
  <c r="N26" i="36"/>
  <c r="N49" i="35"/>
  <c r="N93" i="34"/>
  <c r="N105" i="34"/>
  <c r="N79" i="34"/>
  <c r="N77" i="34"/>
  <c r="F95" i="34"/>
  <c r="N67" i="34"/>
  <c r="N66" i="34"/>
  <c r="J35" i="34"/>
  <c r="N54" i="36"/>
  <c r="N89" i="34"/>
  <c r="N45" i="36"/>
  <c r="N92" i="36"/>
  <c r="N139" i="34"/>
  <c r="N140" i="34"/>
  <c r="N18" i="34"/>
  <c r="J91" i="34"/>
  <c r="F125" i="34"/>
  <c r="J125" i="34" s="1"/>
  <c r="F71" i="36"/>
  <c r="N91" i="36" l="1"/>
  <c r="N80" i="36"/>
  <c r="N79" i="36"/>
  <c r="F81" i="36"/>
  <c r="F55" i="34"/>
  <c r="F57" i="34"/>
  <c r="J57" i="34" s="1"/>
  <c r="F51" i="34"/>
  <c r="J51" i="34" s="1"/>
  <c r="N16" i="34" s="1"/>
  <c r="N33" i="36"/>
  <c r="N135" i="34"/>
  <c r="N136" i="34"/>
  <c r="N122" i="34"/>
  <c r="N95" i="34"/>
  <c r="J99" i="34"/>
  <c r="N101" i="34"/>
  <c r="A18" i="34"/>
  <c r="N43" i="34"/>
  <c r="N18" i="36"/>
  <c r="A18" i="36"/>
  <c r="N91" i="34"/>
  <c r="N92" i="34"/>
  <c r="N46" i="36"/>
  <c r="N71" i="36"/>
  <c r="N132" i="34"/>
  <c r="N125" i="34"/>
  <c r="N81" i="36" l="1"/>
  <c r="A19" i="34"/>
  <c r="N21" i="34"/>
  <c r="N56" i="34"/>
  <c r="N51" i="34"/>
  <c r="N99" i="34"/>
  <c r="N81" i="34"/>
  <c r="A26" i="36"/>
  <c r="N55" i="34"/>
  <c r="N98" i="36"/>
  <c r="A16" i="35" l="1"/>
  <c r="N119" i="36"/>
  <c r="N120" i="36" s="1"/>
  <c r="N121" i="36" s="1"/>
  <c r="A20" i="34"/>
  <c r="N64" i="35"/>
  <c r="A33" i="36"/>
  <c r="N154" i="34"/>
  <c r="A23" i="35" l="1"/>
  <c r="A24" i="35" s="1"/>
  <c r="A25" i="35" s="1"/>
  <c r="A21" i="34"/>
  <c r="A37" i="34" s="1"/>
  <c r="A40" i="36"/>
  <c r="N65" i="35"/>
  <c r="N66" i="35" s="1"/>
  <c r="N155" i="34"/>
  <c r="N156" i="34" s="1"/>
  <c r="A41" i="36" l="1"/>
  <c r="A42" i="36" s="1"/>
  <c r="A43" i="36" s="1"/>
  <c r="A45" i="36" s="1"/>
  <c r="A49" i="36" s="1"/>
  <c r="A53" i="36" s="1"/>
  <c r="A54" i="36" s="1"/>
  <c r="A58" i="36" s="1"/>
  <c r="A59" i="36" s="1"/>
  <c r="A60" i="36" s="1"/>
  <c r="A61" i="36" s="1"/>
  <c r="A65" i="36" s="1"/>
  <c r="A38" i="34"/>
  <c r="A39" i="34" s="1"/>
  <c r="A69" i="36" l="1"/>
  <c r="A71" i="36" s="1"/>
  <c r="A72" i="36" s="1"/>
  <c r="A74" i="36" s="1"/>
  <c r="A66" i="36"/>
  <c r="A32" i="35"/>
  <c r="A40" i="34"/>
  <c r="A41" i="34" s="1"/>
  <c r="A42" i="34" s="1"/>
  <c r="A76" i="36" l="1"/>
  <c r="A77" i="36" s="1"/>
  <c r="A80" i="36" s="1"/>
  <c r="A33" i="35"/>
  <c r="A34" i="35" s="1"/>
  <c r="A42" i="35" s="1"/>
  <c r="A43" i="35" s="1"/>
  <c r="A45" i="35" s="1"/>
  <c r="A43" i="34"/>
  <c r="A47" i="34" s="1"/>
  <c r="A48" i="34" s="1"/>
  <c r="A49" i="34" s="1"/>
  <c r="A46" i="35" l="1"/>
  <c r="A83" i="36"/>
  <c r="A84" i="36" s="1"/>
  <c r="A85" i="36" s="1"/>
  <c r="A86" i="36" s="1"/>
  <c r="A87" i="36" s="1"/>
  <c r="A51" i="34"/>
  <c r="A52" i="34" l="1"/>
  <c r="A53" i="34" s="1"/>
  <c r="A55" i="34" s="1"/>
  <c r="A89" i="36" l="1"/>
  <c r="A47" i="35"/>
  <c r="A48" i="35" s="1"/>
  <c r="A56" i="34"/>
  <c r="A90" i="36" l="1"/>
  <c r="A93" i="36" s="1"/>
  <c r="A49" i="35"/>
  <c r="A50" i="35" s="1"/>
  <c r="A51" i="35" s="1"/>
  <c r="A58" i="34"/>
  <c r="A94" i="36" l="1"/>
  <c r="A95" i="36" s="1"/>
  <c r="A96" i="36" s="1"/>
  <c r="A97" i="36" s="1"/>
  <c r="A52" i="35"/>
  <c r="A53" i="35" s="1"/>
  <c r="A56" i="35" s="1"/>
  <c r="A57" i="35" s="1"/>
  <c r="A62" i="34"/>
  <c r="A63" i="34" s="1"/>
  <c r="A65" i="34" s="1"/>
  <c r="A98" i="36" l="1"/>
  <c r="A106" i="36" s="1"/>
  <c r="A58" i="35"/>
  <c r="A67" i="34"/>
  <c r="A69" i="34" s="1"/>
  <c r="A70" i="34" s="1"/>
  <c r="A108" i="36" l="1"/>
  <c r="A109" i="36" s="1"/>
  <c r="A60" i="35"/>
  <c r="A72" i="34"/>
  <c r="A76" i="34" s="1"/>
  <c r="A77" i="34" l="1"/>
  <c r="A112" i="36"/>
  <c r="A113" i="36" s="1"/>
  <c r="A78" i="34" l="1"/>
  <c r="A80" i="34" s="1"/>
  <c r="A81" i="34" s="1"/>
  <c r="A114" i="36"/>
  <c r="A116" i="36" l="1"/>
  <c r="A82" i="34"/>
  <c r="A88" i="34" l="1"/>
  <c r="A89" i="34" s="1"/>
  <c r="A90" i="34" s="1"/>
  <c r="A91" i="34" s="1"/>
  <c r="A92" i="34" s="1"/>
  <c r="A93" i="34" s="1"/>
  <c r="A95" i="34" s="1"/>
  <c r="A96" i="34" s="1"/>
  <c r="A97" i="34" s="1"/>
  <c r="A98" i="34" s="1"/>
  <c r="A99" i="34" l="1"/>
  <c r="A100" i="34" s="1"/>
  <c r="A105" i="34" l="1"/>
  <c r="A103" i="34" l="1"/>
  <c r="A104" i="34" s="1"/>
  <c r="A106" i="34" l="1"/>
  <c r="A107" i="34" l="1"/>
  <c r="A110" i="34" l="1"/>
  <c r="A111" i="34" l="1"/>
  <c r="A113" i="34" l="1"/>
  <c r="A114" i="34" l="1"/>
  <c r="A116" i="34" l="1"/>
  <c r="A122" i="34" s="1"/>
  <c r="A123" i="34" s="1"/>
  <c r="A124" i="34" s="1"/>
  <c r="A125" i="34" s="1"/>
  <c r="A126" i="34" s="1"/>
  <c r="A127" i="34" s="1"/>
  <c r="A129" i="34" s="1"/>
  <c r="A130" i="34" l="1"/>
  <c r="A131" i="34" s="1"/>
  <c r="A132" i="34" s="1"/>
  <c r="A133" i="34" s="1"/>
  <c r="A134" i="34" l="1"/>
  <c r="A137" i="34" l="1"/>
  <c r="A138" i="34" s="1"/>
  <c r="A140" i="34" l="1"/>
  <c r="A141" i="34" s="1"/>
  <c r="A144" i="34" s="1"/>
  <c r="A145" i="34" l="1"/>
  <c r="A147" i="34" s="1"/>
  <c r="A148" i="34" s="1"/>
  <c r="A150" i="34" s="1"/>
</calcChain>
</file>

<file path=xl/sharedStrings.xml><?xml version="1.0" encoding="utf-8"?>
<sst xmlns="http://schemas.openxmlformats.org/spreadsheetml/2006/main" count="997" uniqueCount="299">
  <si>
    <t>DESIGNATION DES ARTICLES</t>
  </si>
  <si>
    <t>U</t>
  </si>
  <si>
    <t>Qtes</t>
  </si>
  <si>
    <t>P.U</t>
  </si>
  <si>
    <t>ft</t>
  </si>
  <si>
    <t>ml</t>
  </si>
  <si>
    <t>N°</t>
  </si>
  <si>
    <t>m²</t>
  </si>
  <si>
    <t>R+1</t>
  </si>
  <si>
    <t>R+2</t>
  </si>
  <si>
    <t>Dôme</t>
  </si>
  <si>
    <t>CCTP</t>
  </si>
  <si>
    <t>TOTAL en Euros</t>
  </si>
  <si>
    <t>TRANCHE FERME : AILE NORD, DOME TOURNON ET CAMPANILE</t>
  </si>
  <si>
    <t>TVA 20,00%</t>
  </si>
  <si>
    <t>TRANCHE OPTIONNELLE 1 : PAVILLON NORD-OUEST</t>
  </si>
  <si>
    <t>TRANCHE OPTIONNELLE 2 : PAVILLON NORD-EST</t>
  </si>
  <si>
    <t>Avant-métré</t>
  </si>
  <si>
    <t>=</t>
  </si>
  <si>
    <t>+</t>
  </si>
  <si>
    <t xml:space="preserve">Aile Nord-Est </t>
  </si>
  <si>
    <t>Aile Nord-Ouest</t>
  </si>
  <si>
    <t xml:space="preserve">Installation de chantier </t>
  </si>
  <si>
    <t>LOT 04 : TRAVAUX DE COUVERTURE-CHARPENTE-PLATRERIE-PEINTURE</t>
  </si>
  <si>
    <t>Installation d'un plancher d'accès sur la couverture du Dôme</t>
  </si>
  <si>
    <t xml:space="preserve">Quantité Asselin </t>
  </si>
  <si>
    <t>Dôme Tournon et Campanile</t>
  </si>
  <si>
    <t xml:space="preserve">Travaux de couverture </t>
  </si>
  <si>
    <t>- Dépose des arêtiers en plomb du dôme</t>
  </si>
  <si>
    <t>- Dépose du poinçon accueillant le porte-drapeau en acier</t>
  </si>
  <si>
    <t>- Dépose des chéneaux en plomb</t>
  </si>
  <si>
    <t>Chéneaux en bas de toiture dôme</t>
  </si>
  <si>
    <t>- Dépose des habillages en plomb</t>
  </si>
  <si>
    <t>Plancher R+1/Corniche (épaisseur 50cm)</t>
  </si>
  <si>
    <t>Balustrade/sur massifs colonnes extérieures façade Nord (épaisseur 20cm)</t>
  </si>
  <si>
    <t>Emprise des colonnes extérieurs</t>
  </si>
  <si>
    <t xml:space="preserve">Corniche </t>
  </si>
  <si>
    <t xml:space="preserve">Balustrade </t>
  </si>
  <si>
    <t>Terrasse</t>
  </si>
  <si>
    <t>Sortie sur terrasse (surfaces latérales et sommitale)</t>
  </si>
  <si>
    <t xml:space="preserve">Corniche et balustrades </t>
  </si>
  <si>
    <t xml:space="preserve">Dépose des habillages plomb Campanile </t>
  </si>
  <si>
    <t>Jambages et imposte</t>
  </si>
  <si>
    <t xml:space="preserve">Poinçon </t>
  </si>
  <si>
    <t xml:space="preserve">- Dépose du membron en plomb </t>
  </si>
  <si>
    <t>jonction entre toiture et campanile</t>
  </si>
  <si>
    <t xml:space="preserve">- Dépose des bandes d'égoût en plomb </t>
  </si>
  <si>
    <t>reprendre linéaire de fourniture ci-dessous</t>
  </si>
  <si>
    <t>- Dépose des chéneaux en cuivre</t>
  </si>
  <si>
    <t>Chéneau en cuivre terrasse R+2</t>
  </si>
  <si>
    <t>- Dépose des mains courantes des chéneaux du Dôme</t>
  </si>
  <si>
    <t>en périphérie du dôme</t>
  </si>
  <si>
    <t>- Dépose des boîtes à eau encastrées</t>
  </si>
  <si>
    <t>Quantité SECC</t>
  </si>
  <si>
    <t xml:space="preserve">- Dépose des fourreaux plomb des naissances </t>
  </si>
  <si>
    <t>- Dépose du voligeage sous couverture Dôme et Campanile</t>
  </si>
  <si>
    <t>Reprendre surfaces</t>
  </si>
  <si>
    <t xml:space="preserve">- Dépose des couvertures en ardoises écaille </t>
  </si>
  <si>
    <t>Couverture Dôme</t>
  </si>
  <si>
    <t>Couverture Campanile</t>
  </si>
  <si>
    <t>- Dépose de la couverture intérieure en plomb du Campanile et de son support</t>
  </si>
  <si>
    <t xml:space="preserve">- Dépose des filets anti-pigeons </t>
  </si>
  <si>
    <t xml:space="preserve">- Dépose du ruban paratonnerre sur campanile </t>
  </si>
  <si>
    <t>- Préparation des supports en pierre accueillant habillages en plomb</t>
  </si>
  <si>
    <t>Reprendre surface des habillages en plomb</t>
  </si>
  <si>
    <t>- Fourniture et pose des arêtiers en plomb du dôme compris support</t>
  </si>
  <si>
    <t>- Fourniture et pose de chéneaux en plomb</t>
  </si>
  <si>
    <t>- Fourniture et pose d'habillages en plomb</t>
  </si>
  <si>
    <t>reprendre surface d'habillage en plomb + main-courante</t>
  </si>
  <si>
    <t xml:space="preserve">- Fourniture et pose de membron en plomb </t>
  </si>
  <si>
    <t xml:space="preserve">reprendre linéaire de dépose </t>
  </si>
  <si>
    <t>- Fourniture et pose de chéneaux en cuivre</t>
  </si>
  <si>
    <t>- Fourniture et pose de boîtes à eau encastrées</t>
  </si>
  <si>
    <t xml:space="preserve">- Fourniture et pose de fourreaux plomb des naissances </t>
  </si>
  <si>
    <t>- Fourniture et pose d'un voligeage en peuplier (2couches) pour couverture dôme et campanile</t>
  </si>
  <si>
    <t>Reprendre surfaces de dépose ardoises + sous arêtiers</t>
  </si>
  <si>
    <t>- Fourniture et pose d'une couverture en ardoise forme écaille posées aux clous</t>
  </si>
  <si>
    <t>Même surface que dépose d'ardoises</t>
  </si>
  <si>
    <t>En périphérie basse toiture du dôme et campanile</t>
  </si>
  <si>
    <t>En périphérie basse toiture du dôme</t>
  </si>
  <si>
    <t>De part et d'autres des arêtiers</t>
  </si>
  <si>
    <t>- Mise en œuvre d'un ruban paratonnerre sur campanile</t>
  </si>
  <si>
    <t>- Mise en place de ventilation de toiture type chatière en plomb</t>
  </si>
  <si>
    <t xml:space="preserve">Evacuation des eaux pluviales : </t>
  </si>
  <si>
    <t>- Dépose de descentes en façade</t>
  </si>
  <si>
    <t>NEP010 à 013</t>
  </si>
  <si>
    <t>- Dépose des descentes en plomb du dôme</t>
  </si>
  <si>
    <t>4 descentes au niveau du R+2 (NEP006 à 009)</t>
  </si>
  <si>
    <t>reprendre linéaire des descentes en plomb déposées</t>
  </si>
  <si>
    <t>reprendre linéiare des descentes en plomb</t>
  </si>
  <si>
    <t>m³</t>
  </si>
  <si>
    <t>- Dépose des couvertures en plomb</t>
  </si>
  <si>
    <t>- Dépose des habillages en plomb (dessus des ballustrades et corniche en pied de balustrade)</t>
  </si>
  <si>
    <t>- Dépose des supports de couverture et chéneaux</t>
  </si>
  <si>
    <t>- Dépose des couvertures en cuivre étamé</t>
  </si>
  <si>
    <t>- Dépose des chéneaux en cuivre étamé</t>
  </si>
  <si>
    <t>- Préparation des supports en pierre accueillant nouveaux habillages</t>
  </si>
  <si>
    <t xml:space="preserve">reprendre surface habillages </t>
  </si>
  <si>
    <t xml:space="preserve">- Fourniture et pose d'un support de couverture type voligeage </t>
  </si>
  <si>
    <t>reprendre surface de support de couverture sans chéneau</t>
  </si>
  <si>
    <t>- Fourniture et pose de tasseaux  pour surface de couverture en cuivre étamé</t>
  </si>
  <si>
    <t xml:space="preserve">reprendre surface de couverture en cuivre </t>
  </si>
  <si>
    <t xml:space="preserve">- Réalisation de solins engravés en plomb </t>
  </si>
  <si>
    <t xml:space="preserve">en périphérie de la toiture </t>
  </si>
  <si>
    <t>- Fourniture et pose de couvertures en plomb</t>
  </si>
  <si>
    <t>- Fourniture et pose d'habillages des corniches en plomb</t>
  </si>
  <si>
    <t>- Fourniture et pose d'habillages des balustrades en plomb</t>
  </si>
  <si>
    <t>- Fourniture et pose de couvertures en cuivre étamé</t>
  </si>
  <si>
    <t>- Réalisation des nouvelles fonçures bois des chéneaux</t>
  </si>
  <si>
    <t>- Fourniture et pose de chéneaux en cuivre étamé</t>
  </si>
  <si>
    <t xml:space="preserve">- Aménagement de lames d'air en bas de pente </t>
  </si>
  <si>
    <t>reprendre surface de couvertures de tout type + chéneaux</t>
  </si>
  <si>
    <t xml:space="preserve">Evacuation des eaux pluviales </t>
  </si>
  <si>
    <t>- Dépose en démolition des boites à eau cuivre</t>
  </si>
  <si>
    <t xml:space="preserve">- Fourniture et pose de boites à eau cuivre </t>
  </si>
  <si>
    <t xml:space="preserve">- Dépose des descentes en fontes </t>
  </si>
  <si>
    <t xml:space="preserve">- Fourniture et pose de descentes en fonte </t>
  </si>
  <si>
    <t>- Installation d'un plancher d'accès pour les couvertures</t>
  </si>
  <si>
    <t>- Dépose du premier rang d'ardoise</t>
  </si>
  <si>
    <t>- Révision des couvertures en ardoises</t>
  </si>
  <si>
    <t>Versant Nord</t>
  </si>
  <si>
    <t>Versant Sud</t>
  </si>
  <si>
    <t xml:space="preserve">Versant Est </t>
  </si>
  <si>
    <t xml:space="preserve">Versant Ouest </t>
  </si>
  <si>
    <t>Lucarnes (versants, croupe et jouées)</t>
  </si>
  <si>
    <t xml:space="preserve">lucarnes </t>
  </si>
  <si>
    <t>toitures</t>
  </si>
  <si>
    <t>- Dépose des noues des lucarnes à capucine</t>
  </si>
  <si>
    <t xml:space="preserve">lucarnes uniquement </t>
  </si>
  <si>
    <t>Corniche plancher R+1</t>
  </si>
  <si>
    <t>Balustrade R+1</t>
  </si>
  <si>
    <t>Corniche R+2</t>
  </si>
  <si>
    <t xml:space="preserve">Corniche de toiture </t>
  </si>
  <si>
    <t>Balustrade en toiture</t>
  </si>
  <si>
    <t>- Dépose des appuis de fenêtres et de la niche en plomb</t>
  </si>
  <si>
    <t xml:space="preserve">- Dépose des habillages plomb des outeaux </t>
  </si>
  <si>
    <t>- Dépose des habillages en aluminium</t>
  </si>
  <si>
    <t>- Dépose des habillages en zinc des poteaux des lucarnes à capucine</t>
  </si>
  <si>
    <t>Versant Est</t>
  </si>
  <si>
    <t>Versant Ouest</t>
  </si>
  <si>
    <t>12 socles et mitrons</t>
  </si>
  <si>
    <t>périphérie de toiture</t>
  </si>
  <si>
    <t>- Préparation des supports</t>
  </si>
  <si>
    <t>- Traitement des poteaux bois des lucarnes à capucine</t>
  </si>
  <si>
    <t xml:space="preserve">- Fourniture et pose d'arêtiers en plomb </t>
  </si>
  <si>
    <t>reprendre linéaire d'arêtiers</t>
  </si>
  <si>
    <t xml:space="preserve">- Fourniture et pose de faîtages en plomb </t>
  </si>
  <si>
    <t>reprendre linéaire de faîtage</t>
  </si>
  <si>
    <t>- Fourniture et pose de noues des lucarnes à capucine</t>
  </si>
  <si>
    <t>reprendre linéaire de noues</t>
  </si>
  <si>
    <t xml:space="preserve">reprendre linéaire de dépose d'habillage </t>
  </si>
  <si>
    <t>- Fourniture et pose d'habillages plomb des souches de cheminée</t>
  </si>
  <si>
    <t>reprendre linéaire de dépose d'habillages en aluminium</t>
  </si>
  <si>
    <t xml:space="preserve">U </t>
  </si>
  <si>
    <t>- Fourniture et pose d'un habillage en zinc au droit des poteaux des lucarnes à capucine</t>
  </si>
  <si>
    <t>reprendre linéaire de dépose</t>
  </si>
  <si>
    <t>- Création d'une ventilation linéaire en bas de pente</t>
  </si>
  <si>
    <t xml:space="preserve">reprendre linéaire de dépose du premier rang d'ardoise </t>
  </si>
  <si>
    <t>longueur du rampant Sud</t>
  </si>
  <si>
    <t xml:space="preserve">on double le nombre de départ </t>
  </si>
  <si>
    <t>Quantité SECC (12ml)</t>
  </si>
  <si>
    <t>- Dépose des descentes en fonte en façade</t>
  </si>
  <si>
    <t>1 en façade O et 1 en façade N</t>
  </si>
  <si>
    <t>- Fourniture et pose des descentes en fonte en façade</t>
  </si>
  <si>
    <t>Quantité Asselin</t>
  </si>
  <si>
    <t>- Dépose de la ligne de vie pour cheminement en pied de toiture</t>
  </si>
  <si>
    <t xml:space="preserve">linéaire en pied de toiture </t>
  </si>
  <si>
    <t>- Dépose des supports de couvertures : voligeages et liteaux  (comrpis jouées des lucarnes à capucine et outeaux)</t>
  </si>
  <si>
    <t>Lucarnes (jouées, versants et croupe)</t>
  </si>
  <si>
    <t>Outeaux</t>
  </si>
  <si>
    <t>- Dépose des appuis de fenêtre et de la niche en plomb</t>
  </si>
  <si>
    <t>- Dépose des appuis de fenêtres des lucarnes en plomb</t>
  </si>
  <si>
    <t xml:space="preserve">- Dépose de la bande d'égout en plomb </t>
  </si>
  <si>
    <t>linéaire en périphérie de la toiture ardoise</t>
  </si>
  <si>
    <t xml:space="preserve">- Dépose des faîtages en plomb </t>
  </si>
  <si>
    <t xml:space="preserve">Lucarnes </t>
  </si>
  <si>
    <t>Faîtage sommital (env 40cm d'ep)</t>
  </si>
  <si>
    <t>linéaire des fenêtres de toits</t>
  </si>
  <si>
    <t xml:space="preserve">bordure de toiture ardoise </t>
  </si>
  <si>
    <t>- Dépose en conservation des accessoires en acier peint (socle des mitrons et mitrons)</t>
  </si>
  <si>
    <t xml:space="preserve">en périphérie des toitures </t>
  </si>
  <si>
    <t>- Dépose des habillages cuivre</t>
  </si>
  <si>
    <t>- Dépose des couvertures en zinc à tasseaux</t>
  </si>
  <si>
    <t xml:space="preserve">au droit des échelle </t>
  </si>
  <si>
    <t xml:space="preserve">- Dépose des habillages en zinc </t>
  </si>
  <si>
    <t>au droit des lucarnes</t>
  </si>
  <si>
    <t xml:space="preserve">Poteaux </t>
  </si>
  <si>
    <t>Rives</t>
  </si>
  <si>
    <t>- Dépose des abergements des sorties de toitures</t>
  </si>
  <si>
    <t>reprendre linéaire de réalisation</t>
  </si>
  <si>
    <t xml:space="preserve">- Dépose des lignes de vie sur rampant </t>
  </si>
  <si>
    <t>- Dépose des crosses et sorties de câbles</t>
  </si>
  <si>
    <t xml:space="preserve">- Préparation des supports en pierre </t>
  </si>
  <si>
    <t xml:space="preserve">linéaire d'habillage </t>
  </si>
  <si>
    <t>- Fourniture et pose de support type voligeage et litonnage  (comrpis jouées des lucarnes à capucine)</t>
  </si>
  <si>
    <t>reprendre surface de dépose de support</t>
  </si>
  <si>
    <t>- Fourniture et pose de couvertures en ardoise  (comrpis jouées des lucarnes à capucine)</t>
  </si>
  <si>
    <t>reprendre surface de dépose des ardoises et retrancher l'agrandissement de la couverture en zinc</t>
  </si>
  <si>
    <t>- Réalisation d'un doublis et égoût ventilé</t>
  </si>
  <si>
    <t>reprendre linéaire de périphérie de toiture et retrancher linéaire des lucarnes</t>
  </si>
  <si>
    <t>- Fourniture et pose d'habillages plomb des outeaux</t>
  </si>
  <si>
    <t>- Fourniture et pose des appuis de fenêtre et de la niche en plomb</t>
  </si>
  <si>
    <t>- Fourniture et pose des appuis de fenêtre des lucarnes en plomb</t>
  </si>
  <si>
    <t xml:space="preserve">- Fourniture et pose d'une bande d'égout en plomb </t>
  </si>
  <si>
    <t>rep linéaire de dépose</t>
  </si>
  <si>
    <t xml:space="preserve">reprendre linéaire d'habillages alu </t>
  </si>
  <si>
    <t>- Fourniture et pose d'habillages en cuivre (banquette)</t>
  </si>
  <si>
    <t>reprendre surface d'habillage cuivre</t>
  </si>
  <si>
    <t xml:space="preserve">- Fourniture et pose d'habillages en zinc des corniches bois </t>
  </si>
  <si>
    <t>reprendre linéaire d'habillage zinc</t>
  </si>
  <si>
    <t>- Fourniture et pose de couverture en zinc</t>
  </si>
  <si>
    <t>reprendre surface couverture zinc</t>
  </si>
  <si>
    <t>8 chatières en plomb</t>
  </si>
  <si>
    <t>- Sortie de ventilation de chute en zinc</t>
  </si>
  <si>
    <t>55ml</t>
  </si>
  <si>
    <t xml:space="preserve">au droit des échelles </t>
  </si>
  <si>
    <t>- Réalisation de solins engravés en plomb autour de la cheminée principale</t>
  </si>
  <si>
    <t>- Remplacement des corniches bois des lucarnes à capucine</t>
  </si>
  <si>
    <t>- Reprise des structures bois des lucarnes à capucine</t>
  </si>
  <si>
    <t>Evacuation des eaux pluviales</t>
  </si>
  <si>
    <t>- Dépose des descentes en façade</t>
  </si>
  <si>
    <t>2 descentes en S et 1 en E</t>
  </si>
  <si>
    <t xml:space="preserve">- Dépose des habillages en aluminium en périphérie des fenêtres de toit </t>
  </si>
  <si>
    <t>- Fourniture et pose de filets anti-pigeons au droit du campanile</t>
  </si>
  <si>
    <t>- Mise en place de ventilations de toiture type chatière en plomb</t>
  </si>
  <si>
    <t>au droit des échelles</t>
  </si>
  <si>
    <t>- Installation d'une isolation en laine de roche</t>
  </si>
  <si>
    <t>- Installation d'une isolation en laine de roche entre chevrons</t>
  </si>
  <si>
    <t>uniquement au droit des rampants des bureaux</t>
  </si>
  <si>
    <t>Vresant nord</t>
  </si>
  <si>
    <t>3.1.1</t>
  </si>
  <si>
    <t>3.1.2</t>
  </si>
  <si>
    <t>3.1.3</t>
  </si>
  <si>
    <t>3.1.4</t>
  </si>
  <si>
    <t>3.2.1</t>
  </si>
  <si>
    <t>3.2.2</t>
  </si>
  <si>
    <t>3.1.5</t>
  </si>
  <si>
    <t>3.2</t>
  </si>
  <si>
    <t>3.6</t>
  </si>
  <si>
    <t>Evacuation des eaux pluviales :</t>
  </si>
  <si>
    <t>- Dépose des couvertures en ardoises (compris jouées des lucarnes à capucine)</t>
  </si>
  <si>
    <t>3.1.10</t>
  </si>
  <si>
    <t>- Dépose des habillages en plomb (dessus des balustrades et corniche en pied de balustrade)</t>
  </si>
  <si>
    <t>3.1.13</t>
  </si>
  <si>
    <t xml:space="preserve">-Chattières en partie haute des versants en cuivre </t>
  </si>
  <si>
    <t>3.1.14</t>
  </si>
  <si>
    <t>3.1.15</t>
  </si>
  <si>
    <t xml:space="preserve">- Fourniture et pose d'habillages en zinc en périphérie des fenêtres de toit </t>
  </si>
  <si>
    <t>3.1.16</t>
  </si>
  <si>
    <t>- Fourniture et pose de descente en fonte en façade</t>
  </si>
  <si>
    <t>- Fourniture et pose d'habillages en zinc</t>
  </si>
  <si>
    <t xml:space="preserve">- Fourniture et repose d'accessoires en acier peint après sablage et thermolaquage </t>
  </si>
  <si>
    <t>3.1.20</t>
  </si>
  <si>
    <t>3.1.21</t>
  </si>
  <si>
    <t>3.1.12</t>
  </si>
  <si>
    <t>Fourniture et pose de la couverture intérieure en plomb du Campanile et de son support</t>
  </si>
  <si>
    <t>3.1.12/13</t>
  </si>
  <si>
    <t>3.1.22</t>
  </si>
  <si>
    <t>3.1.18</t>
  </si>
  <si>
    <t>3.1.8</t>
  </si>
  <si>
    <t>3.1.9</t>
  </si>
  <si>
    <t>3.1.17</t>
  </si>
  <si>
    <t>3.1.6</t>
  </si>
  <si>
    <t>3.1.7</t>
  </si>
  <si>
    <t>3.1.19</t>
  </si>
  <si>
    <t>3.1.24</t>
  </si>
  <si>
    <t>3.1.25</t>
  </si>
  <si>
    <t>3.1.11</t>
  </si>
  <si>
    <t>3.1.23</t>
  </si>
  <si>
    <t>- Remplacement de menuiseries pour outeaux</t>
  </si>
  <si>
    <t>- Dépose des arêtiers en plomb (toitures et lucarnes à capucine)</t>
  </si>
  <si>
    <t xml:space="preserve">- Prévoir abergement pour toutes les sorties en toitures (outeaux) </t>
  </si>
  <si>
    <t>- Chemisage des descentes ep bloqué dans maçonneries</t>
  </si>
  <si>
    <t>- Dépose /repose de points d'ancrages</t>
  </si>
  <si>
    <t>Evacuation des déchets</t>
  </si>
  <si>
    <t>- Révision des chéneaux en cuivre (compris fonçure et habillages verticaux)</t>
  </si>
  <si>
    <t xml:space="preserve">- Dépose des habillages en plomb en corniches et balustrade </t>
  </si>
  <si>
    <t xml:space="preserve">- Fourniture et pose d'habillages en plomb en corniches et balustrade </t>
  </si>
  <si>
    <t>3.1.26</t>
  </si>
  <si>
    <t>- Fourniture et pose de descentes en plomb en lieu et place des descentes en plomb</t>
  </si>
  <si>
    <t>-  Fourniture et pose rives à noquets en cuivre</t>
  </si>
  <si>
    <t>-  Fourniture et pose egouts ventilés et doublis</t>
  </si>
  <si>
    <t>- fourniture et pose bandes d'égouts cintrées en plomb</t>
  </si>
  <si>
    <t xml:space="preserve">- Dépose d'ardoises pour intervention sur charpente  </t>
  </si>
  <si>
    <t>- restauration de ligne de vie en cheminement de toiture</t>
  </si>
  <si>
    <t>- restauration d'une ligne de vie sur rampant</t>
  </si>
  <si>
    <t xml:space="preserve">- restauration d'une ligne de vie sur le rampant </t>
  </si>
  <si>
    <t>- Chemisage des descentes ep bloquées dans maçonneries</t>
  </si>
  <si>
    <t>- Dépose des échelles d'accès en acier (versant Sud et Nord)</t>
  </si>
  <si>
    <t>- Nettoyage THE des résidus plomb lors de la dépose des couvertures</t>
  </si>
  <si>
    <t>- Nettoyage par aspiration du plomb lors de la dépose des couvertures</t>
  </si>
  <si>
    <t>TOTAL H.T LOT 04 COUVERTURES-CHARPENTES-PLATRERIE-PEINTURE TF AILE NORD</t>
  </si>
  <si>
    <t>LOT 04 :  COUVERTURES-CHARPENTES-PLATRERIE-PEINTURE</t>
  </si>
  <si>
    <t>LOT 04 : COUVERTURES-CHARPENTES-PLATRERIE-PEINTURE</t>
  </si>
  <si>
    <t>TOTAL H.T LOT 04 COUVERTURES-CHARPENTES-PLATRERIE-PEINTURE TO 1 PAVILLON NORD-OUEST</t>
  </si>
  <si>
    <t>TOTAL T.T.C LOT 04 COUVERTURES-CHARPENTES-PLATRERIE-PEINTURE TO 1 PAVILLON NORD-OUEST</t>
  </si>
  <si>
    <t>TOTAL H.T LOT 04 COUVERTURES-CHARPENTES-PLATRERIE-PEINTURE TO 2 PAVILLON NORD-EST</t>
  </si>
  <si>
    <t>TOTAL T.T.C LOT 04 COUVERTURES-CHARPENTES-PLATRERIE-PEINTURE TO 2 PAVILLON NORD-EST</t>
  </si>
  <si>
    <t>TOTAL T.T.C LOT 04 COUVERTURES-CHARPENTES-PLATRERIE-PEINTURE TF AILE NORD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</si>
</sst>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&quot;F&quot;_-;\-* #,##0.00\ &quot;F&quot;_-;_-* &quot;-&quot;??\ &quot;F&quot;_-;_-@_-"/>
    <numFmt numFmtId="165" formatCode="_-* #,##0.00\ [$€-40C]_-;\-* #,##0.00\ [$€-40C]_-;_-* &quot;-&quot;??\ [$€-40C]_-;_-@_-"/>
    <numFmt numFmtId="166" formatCode="0.000"/>
    <numFmt numFmtId="167" formatCode="00000"/>
  </numFmts>
  <fonts count="32" x14ac:knownFonts="1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name val="Arial"/>
      <family val="2"/>
    </font>
    <font>
      <b/>
      <sz val="8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12"/>
      <name val="Times"/>
      <family val="1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sz val="8"/>
      <color theme="1"/>
      <name val="Arial"/>
      <family val="2"/>
    </font>
    <font>
      <b/>
      <sz val="9"/>
      <name val="Arial"/>
      <family val="2"/>
    </font>
    <font>
      <sz val="9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C00000"/>
      <name val="Calibri"/>
      <family val="2"/>
      <scheme val="minor"/>
    </font>
    <font>
      <sz val="9"/>
      <color theme="1"/>
      <name val="Arial"/>
      <family val="2"/>
    </font>
    <font>
      <b/>
      <sz val="9"/>
      <color rgb="FFFF0000"/>
      <name val="Arial"/>
      <family val="2"/>
    </font>
    <font>
      <b/>
      <sz val="9"/>
      <color theme="1"/>
      <name val="Arial"/>
      <family val="2"/>
    </font>
    <font>
      <b/>
      <sz val="9"/>
      <color rgb="FFC00000"/>
      <name val="Arial"/>
      <family val="2"/>
    </font>
    <font>
      <b/>
      <sz val="8"/>
      <color theme="1"/>
      <name val="Arial"/>
      <family val="2"/>
    </font>
    <font>
      <b/>
      <sz val="8"/>
      <color rgb="FFC00000"/>
      <name val="Arial"/>
      <family val="2"/>
    </font>
    <font>
      <u/>
      <sz val="8"/>
      <name val="Arial"/>
      <family val="2"/>
    </font>
    <font>
      <sz val="8"/>
      <color theme="4" tint="-0.249977111117893"/>
      <name val="Arial"/>
      <family val="2"/>
    </font>
    <font>
      <sz val="11"/>
      <color theme="1"/>
      <name val="Arial"/>
      <family val="2"/>
    </font>
    <font>
      <b/>
      <sz val="9"/>
      <color theme="4" tint="-0.249977111117893"/>
      <name val="Arial"/>
      <family val="2"/>
    </font>
    <font>
      <sz val="11"/>
      <color theme="4" tint="-0.249977111117893"/>
      <name val="Calibri"/>
      <family val="2"/>
      <scheme val="minor"/>
    </font>
    <font>
      <sz val="8"/>
      <color rgb="FF0070C0"/>
      <name val="Arial"/>
      <family val="2"/>
    </font>
    <font>
      <sz val="9"/>
      <color theme="4" tint="-0.249977111117893"/>
      <name val="Arial"/>
      <family val="2"/>
    </font>
    <font>
      <b/>
      <sz val="11"/>
      <color rgb="FFC0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0">
    <xf numFmtId="0" fontId="0" fillId="0" borderId="0"/>
    <xf numFmtId="0" fontId="1" fillId="0" borderId="0"/>
    <xf numFmtId="164" fontId="4" fillId="0" borderId="0" applyFont="0" applyFill="0" applyBorder="0" applyAlignment="0" applyProtection="0"/>
    <xf numFmtId="0" fontId="4" fillId="0" borderId="0"/>
    <xf numFmtId="0" fontId="2" fillId="0" borderId="0"/>
    <xf numFmtId="0" fontId="8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1" fillId="0" borderId="0"/>
  </cellStyleXfs>
  <cellXfs count="164">
    <xf numFmtId="0" fontId="0" fillId="0" borderId="0" xfId="0"/>
    <xf numFmtId="0" fontId="5" fillId="0" borderId="1" xfId="1" applyFont="1" applyBorder="1" applyAlignment="1">
      <alignment horizontal="center" vertical="center" wrapText="1"/>
    </xf>
    <xf numFmtId="0" fontId="12" fillId="4" borderId="8" xfId="6" applyFont="1" applyFill="1" applyBorder="1" applyAlignment="1">
      <alignment horizontal="center" vertical="top"/>
    </xf>
    <xf numFmtId="0" fontId="12" fillId="4" borderId="8" xfId="6" applyFont="1" applyFill="1" applyBorder="1" applyAlignment="1">
      <alignment horizontal="center" vertical="center"/>
    </xf>
    <xf numFmtId="165" fontId="12" fillId="4" borderId="8" xfId="6" applyNumberFormat="1" applyFont="1" applyFill="1" applyBorder="1" applyAlignment="1">
      <alignment horizontal="center" vertical="center"/>
    </xf>
    <xf numFmtId="0" fontId="13" fillId="0" borderId="0" xfId="0" applyFont="1"/>
    <xf numFmtId="0" fontId="0" fillId="0" borderId="1" xfId="0" applyBorder="1"/>
    <xf numFmtId="0" fontId="0" fillId="0" borderId="0" xfId="0" applyAlignment="1">
      <alignment horizontal="center" vertical="center"/>
    </xf>
    <xf numFmtId="0" fontId="0" fillId="2" borderId="0" xfId="0" applyFill="1"/>
    <xf numFmtId="0" fontId="0" fillId="0" borderId="1" xfId="0" applyBorder="1" applyAlignment="1">
      <alignment horizontal="center" vertical="center"/>
    </xf>
    <xf numFmtId="0" fontId="18" fillId="0" borderId="1" xfId="0" applyFont="1" applyBorder="1" applyAlignment="1">
      <alignment horizontal="center" vertical="center"/>
    </xf>
    <xf numFmtId="0" fontId="11" fillId="0" borderId="1" xfId="0" applyFont="1" applyBorder="1"/>
    <xf numFmtId="0" fontId="11" fillId="0" borderId="1" xfId="0" applyFont="1" applyBorder="1" applyAlignment="1">
      <alignment horizontal="center" vertical="center"/>
    </xf>
    <xf numFmtId="165" fontId="11" fillId="0" borderId="1" xfId="0" applyNumberFormat="1" applyFont="1" applyBorder="1" applyAlignment="1">
      <alignment horizontal="center" vertical="center"/>
    </xf>
    <xf numFmtId="0" fontId="11" fillId="0" borderId="0" xfId="0" applyFont="1"/>
    <xf numFmtId="2" fontId="11" fillId="0" borderId="1" xfId="0" applyNumberFormat="1" applyFont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/>
    </xf>
    <xf numFmtId="0" fontId="11" fillId="0" borderId="2" xfId="0" applyFont="1" applyBorder="1"/>
    <xf numFmtId="0" fontId="10" fillId="0" borderId="0" xfId="0" applyFont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26" fillId="0" borderId="0" xfId="0" applyFont="1"/>
    <xf numFmtId="165" fontId="14" fillId="0" borderId="1" xfId="0" applyNumberFormat="1" applyFont="1" applyBorder="1" applyAlignment="1">
      <alignment vertical="center"/>
    </xf>
    <xf numFmtId="165" fontId="16" fillId="0" borderId="1" xfId="0" applyNumberFormat="1" applyFont="1" applyBorder="1" applyAlignment="1">
      <alignment vertical="center"/>
    </xf>
    <xf numFmtId="165" fontId="0" fillId="0" borderId="1" xfId="0" applyNumberFormat="1" applyBorder="1" applyAlignment="1">
      <alignment horizontal="center" vertical="center"/>
    </xf>
    <xf numFmtId="0" fontId="5" fillId="2" borderId="0" xfId="4" applyFont="1" applyFill="1" applyAlignment="1">
      <alignment vertical="center" wrapText="1" shrinkToFit="1"/>
    </xf>
    <xf numFmtId="0" fontId="3" fillId="2" borderId="0" xfId="4" applyFont="1" applyFill="1" applyAlignment="1">
      <alignment vertical="center" wrapText="1" shrinkToFit="1"/>
    </xf>
    <xf numFmtId="165" fontId="11" fillId="0" borderId="1" xfId="0" applyNumberFormat="1" applyFont="1" applyBorder="1" applyAlignment="1">
      <alignment vertical="center"/>
    </xf>
    <xf numFmtId="165" fontId="11" fillId="2" borderId="1" xfId="0" applyNumberFormat="1" applyFont="1" applyFill="1" applyBorder="1" applyAlignment="1">
      <alignment horizontal="center" vertical="center"/>
    </xf>
    <xf numFmtId="0" fontId="5" fillId="0" borderId="0" xfId="4" quotePrefix="1" applyFont="1" applyAlignment="1">
      <alignment vertical="center" wrapText="1" shrinkToFit="1"/>
    </xf>
    <xf numFmtId="0" fontId="12" fillId="4" borderId="9" xfId="6" applyFont="1" applyFill="1" applyBorder="1" applyAlignment="1">
      <alignment horizontal="center" vertical="center"/>
    </xf>
    <xf numFmtId="165" fontId="12" fillId="4" borderId="9" xfId="6" applyNumberFormat="1" applyFont="1" applyFill="1" applyBorder="1" applyAlignment="1">
      <alignment horizontal="center" vertical="center"/>
    </xf>
    <xf numFmtId="165" fontId="13" fillId="3" borderId="2" xfId="0" applyNumberFormat="1" applyFont="1" applyFill="1" applyBorder="1" applyAlignment="1">
      <alignment horizontal="center" vertical="center"/>
    </xf>
    <xf numFmtId="0" fontId="0" fillId="0" borderId="2" xfId="0" applyBorder="1"/>
    <xf numFmtId="0" fontId="28" fillId="0" borderId="1" xfId="0" applyFont="1" applyBorder="1" applyAlignment="1">
      <alignment horizontal="left" vertical="center"/>
    </xf>
    <xf numFmtId="0" fontId="28" fillId="0" borderId="1" xfId="0" applyFont="1" applyBorder="1" applyAlignment="1">
      <alignment horizontal="center" vertical="center"/>
    </xf>
    <xf numFmtId="0" fontId="25" fillId="0" borderId="1" xfId="0" applyFont="1" applyBorder="1" applyAlignment="1">
      <alignment horizontal="left" vertical="center"/>
    </xf>
    <xf numFmtId="0" fontId="25" fillId="0" borderId="1" xfId="0" applyFont="1" applyBorder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165" fontId="11" fillId="0" borderId="2" xfId="0" applyNumberFormat="1" applyFont="1" applyBorder="1" applyAlignment="1">
      <alignment horizontal="center" vertical="center"/>
    </xf>
    <xf numFmtId="0" fontId="3" fillId="2" borderId="2" xfId="4" applyFont="1" applyFill="1" applyBorder="1" applyAlignment="1">
      <alignment vertical="top" wrapText="1" shrinkToFit="1"/>
    </xf>
    <xf numFmtId="0" fontId="5" fillId="2" borderId="2" xfId="4" applyFont="1" applyFill="1" applyBorder="1" applyAlignment="1">
      <alignment vertical="top" wrapText="1" shrinkToFit="1"/>
    </xf>
    <xf numFmtId="0" fontId="5" fillId="0" borderId="2" xfId="4" quotePrefix="1" applyFont="1" applyBorder="1" applyAlignment="1">
      <alignment horizontal="left" vertical="top" wrapText="1" shrinkToFit="1"/>
    </xf>
    <xf numFmtId="2" fontId="11" fillId="0" borderId="2" xfId="0" applyNumberFormat="1" applyFont="1" applyBorder="1" applyAlignment="1">
      <alignment horizontal="center" vertical="center"/>
    </xf>
    <xf numFmtId="0" fontId="6" fillId="2" borderId="2" xfId="4" applyFont="1" applyFill="1" applyBorder="1" applyAlignment="1">
      <alignment vertical="top" wrapText="1" shrinkToFit="1"/>
    </xf>
    <xf numFmtId="0" fontId="24" fillId="2" borderId="2" xfId="4" applyFont="1" applyFill="1" applyBorder="1" applyAlignment="1">
      <alignment vertical="top" wrapText="1" shrinkToFit="1"/>
    </xf>
    <xf numFmtId="0" fontId="5" fillId="2" borderId="2" xfId="4" quotePrefix="1" applyFont="1" applyFill="1" applyBorder="1" applyAlignment="1">
      <alignment vertical="top" wrapText="1" shrinkToFit="1"/>
    </xf>
    <xf numFmtId="2" fontId="25" fillId="0" borderId="2" xfId="0" applyNumberFormat="1" applyFont="1" applyBorder="1" applyAlignment="1">
      <alignment horizontal="center" vertical="center"/>
    </xf>
    <xf numFmtId="2" fontId="25" fillId="0" borderId="1" xfId="0" applyNumberFormat="1" applyFont="1" applyBorder="1" applyAlignment="1">
      <alignment horizontal="center" vertical="center"/>
    </xf>
    <xf numFmtId="0" fontId="25" fillId="2" borderId="2" xfId="4" quotePrefix="1" applyFont="1" applyFill="1" applyBorder="1" applyAlignment="1">
      <alignment vertical="top" wrapText="1" shrinkToFit="1"/>
    </xf>
    <xf numFmtId="0" fontId="2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2" fontId="5" fillId="0" borderId="2" xfId="0" applyNumberFormat="1" applyFont="1" applyBorder="1" applyAlignment="1">
      <alignment horizontal="center" vertical="center"/>
    </xf>
    <xf numFmtId="165" fontId="5" fillId="0" borderId="2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165" fontId="9" fillId="0" borderId="2" xfId="0" applyNumberFormat="1" applyFont="1" applyBorder="1" applyAlignment="1">
      <alignment horizontal="center" vertical="center"/>
    </xf>
    <xf numFmtId="0" fontId="9" fillId="2" borderId="2" xfId="4" quotePrefix="1" applyFont="1" applyFill="1" applyBorder="1" applyAlignment="1">
      <alignment vertical="top" wrapText="1" shrinkToFit="1"/>
    </xf>
    <xf numFmtId="165" fontId="11" fillId="2" borderId="2" xfId="0" applyNumberFormat="1" applyFont="1" applyFill="1" applyBorder="1" applyAlignment="1">
      <alignment horizontal="center" vertical="center"/>
    </xf>
    <xf numFmtId="0" fontId="5" fillId="2" borderId="2" xfId="4" quotePrefix="1" applyFont="1" applyFill="1" applyBorder="1" applyAlignment="1">
      <alignment vertical="center" wrapText="1" shrinkToFit="1"/>
    </xf>
    <xf numFmtId="0" fontId="9" fillId="0" borderId="2" xfId="0" quotePrefix="1" applyFont="1" applyBorder="1" applyAlignment="1">
      <alignment horizontal="left" vertical="center"/>
    </xf>
    <xf numFmtId="0" fontId="11" fillId="0" borderId="2" xfId="0" quotePrefix="1" applyFont="1" applyBorder="1" applyAlignment="1">
      <alignment horizontal="left" vertical="center"/>
    </xf>
    <xf numFmtId="0" fontId="11" fillId="0" borderId="2" xfId="0" applyFont="1" applyBorder="1" applyAlignment="1">
      <alignment horizontal="left" vertical="center"/>
    </xf>
    <xf numFmtId="166" fontId="25" fillId="0" borderId="1" xfId="0" applyNumberFormat="1" applyFont="1" applyBorder="1" applyAlignment="1">
      <alignment horizontal="center" vertical="center"/>
    </xf>
    <xf numFmtId="0" fontId="11" fillId="0" borderId="2" xfId="0" quotePrefix="1" applyFont="1" applyBorder="1" applyAlignment="1">
      <alignment wrapText="1"/>
    </xf>
    <xf numFmtId="0" fontId="7" fillId="2" borderId="2" xfId="4" quotePrefix="1" applyFont="1" applyFill="1" applyBorder="1" applyAlignment="1">
      <alignment vertical="top" wrapText="1" shrinkToFit="1"/>
    </xf>
    <xf numFmtId="0" fontId="3" fillId="2" borderId="2" xfId="4" quotePrefix="1" applyFont="1" applyFill="1" applyBorder="1" applyAlignment="1">
      <alignment vertical="top" wrapText="1" shrinkToFit="1"/>
    </xf>
    <xf numFmtId="0" fontId="6" fillId="2" borderId="2" xfId="4" quotePrefix="1" applyFont="1" applyFill="1" applyBorder="1" applyAlignment="1">
      <alignment vertical="top" wrapText="1" shrinkToFit="1"/>
    </xf>
    <xf numFmtId="0" fontId="5" fillId="0" borderId="2" xfId="4" quotePrefix="1" applyFont="1" applyBorder="1" applyAlignment="1">
      <alignment vertical="center" wrapText="1" shrinkToFit="1"/>
    </xf>
    <xf numFmtId="0" fontId="5" fillId="0" borderId="2" xfId="4" applyFont="1" applyBorder="1" applyAlignment="1">
      <alignment vertical="center" wrapText="1" shrinkToFit="1"/>
    </xf>
    <xf numFmtId="2" fontId="5" fillId="0" borderId="1" xfId="0" applyNumberFormat="1" applyFont="1" applyBorder="1" applyAlignment="1">
      <alignment horizontal="center" vertical="center"/>
    </xf>
    <xf numFmtId="0" fontId="25" fillId="2" borderId="1" xfId="0" applyFont="1" applyFill="1" applyBorder="1" applyAlignment="1">
      <alignment horizontal="left" vertical="center"/>
    </xf>
    <xf numFmtId="0" fontId="25" fillId="2" borderId="1" xfId="0" applyFont="1" applyFill="1" applyBorder="1" applyAlignment="1">
      <alignment horizontal="center" vertical="center"/>
    </xf>
    <xf numFmtId="0" fontId="5" fillId="0" borderId="2" xfId="7" quotePrefix="1" applyFont="1" applyBorder="1" applyAlignment="1">
      <alignment vertical="center"/>
    </xf>
    <xf numFmtId="0" fontId="5" fillId="2" borderId="2" xfId="4" applyFont="1" applyFill="1" applyBorder="1" applyAlignment="1">
      <alignment vertical="center" wrapText="1" shrinkToFit="1"/>
    </xf>
    <xf numFmtId="166" fontId="11" fillId="0" borderId="1" xfId="0" applyNumberFormat="1" applyFont="1" applyBorder="1" applyAlignment="1">
      <alignment horizontal="center" vertical="center"/>
    </xf>
    <xf numFmtId="165" fontId="10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0" fontId="5" fillId="2" borderId="0" xfId="4" quotePrefix="1" applyFont="1" applyFill="1" applyAlignment="1">
      <alignment vertical="center" wrapText="1" shrinkToFit="1"/>
    </xf>
    <xf numFmtId="0" fontId="11" fillId="0" borderId="0" xfId="0" applyFont="1" applyAlignment="1">
      <alignment vertical="center"/>
    </xf>
    <xf numFmtId="0" fontId="5" fillId="0" borderId="0" xfId="4" quotePrefix="1" applyFont="1" applyAlignment="1">
      <alignment horizontal="left" vertical="center" wrapText="1" shrinkToFit="1"/>
    </xf>
    <xf numFmtId="0" fontId="3" fillId="2" borderId="2" xfId="4" applyFont="1" applyFill="1" applyBorder="1" applyAlignment="1">
      <alignment vertical="center" wrapText="1" shrinkToFit="1"/>
    </xf>
    <xf numFmtId="0" fontId="5" fillId="2" borderId="0" xfId="4" quotePrefix="1" applyFont="1" applyFill="1" applyAlignment="1">
      <alignment vertical="center" shrinkToFit="1"/>
    </xf>
    <xf numFmtId="0" fontId="29" fillId="2" borderId="0" xfId="4" quotePrefix="1" applyFont="1" applyFill="1" applyAlignment="1">
      <alignment vertical="center" wrapText="1" shrinkToFit="1"/>
    </xf>
    <xf numFmtId="0" fontId="12" fillId="4" borderId="9" xfId="6" applyFont="1" applyFill="1" applyBorder="1" applyAlignment="1">
      <alignment horizontal="center"/>
    </xf>
    <xf numFmtId="0" fontId="10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/>
    </xf>
    <xf numFmtId="0" fontId="5" fillId="0" borderId="2" xfId="0" quotePrefix="1" applyFont="1" applyBorder="1" applyAlignment="1">
      <alignment horizontal="left" vertical="center"/>
    </xf>
    <xf numFmtId="0" fontId="11" fillId="0" borderId="2" xfId="0" quotePrefix="1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/>
    </xf>
    <xf numFmtId="0" fontId="5" fillId="0" borderId="2" xfId="4" quotePrefix="1" applyFont="1" applyBorder="1" applyAlignment="1">
      <alignment horizontal="left" vertical="center" wrapText="1" shrinkToFit="1"/>
    </xf>
    <xf numFmtId="0" fontId="0" fillId="0" borderId="1" xfId="0" applyBorder="1" applyAlignment="1">
      <alignment vertical="center"/>
    </xf>
    <xf numFmtId="0" fontId="12" fillId="4" borderId="7" xfId="6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5" fillId="0" borderId="2" xfId="4" quotePrefix="1" applyFont="1" applyBorder="1" applyAlignment="1">
      <alignment vertical="top" wrapText="1" shrinkToFit="1"/>
    </xf>
    <xf numFmtId="165" fontId="18" fillId="0" borderId="1" xfId="0" applyNumberFormat="1" applyFont="1" applyBorder="1" applyAlignment="1">
      <alignment horizontal="center" vertical="center"/>
    </xf>
    <xf numFmtId="0" fontId="18" fillId="0" borderId="0" xfId="0" applyFont="1" applyAlignment="1">
      <alignment vertical="center"/>
    </xf>
    <xf numFmtId="0" fontId="30" fillId="0" borderId="2" xfId="0" applyFont="1" applyBorder="1" applyAlignment="1">
      <alignment horizontal="left" vertical="center"/>
    </xf>
    <xf numFmtId="0" fontId="30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165" fontId="18" fillId="0" borderId="10" xfId="0" applyNumberFormat="1" applyFont="1" applyBorder="1" applyAlignment="1">
      <alignment horizontal="center" vertical="center"/>
    </xf>
    <xf numFmtId="165" fontId="19" fillId="0" borderId="1" xfId="0" applyNumberFormat="1" applyFont="1" applyBorder="1" applyAlignment="1">
      <alignment horizontal="center" vertical="center"/>
    </xf>
    <xf numFmtId="165" fontId="12" fillId="0" borderId="1" xfId="0" applyNumberFormat="1" applyFont="1" applyBorder="1" applyAlignment="1">
      <alignment horizontal="center" vertical="center"/>
    </xf>
    <xf numFmtId="0" fontId="11" fillId="0" borderId="2" xfId="0" applyFont="1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165" fontId="17" fillId="0" borderId="6" xfId="0" applyNumberFormat="1" applyFont="1" applyBorder="1" applyAlignment="1">
      <alignment vertical="center"/>
    </xf>
    <xf numFmtId="0" fontId="0" fillId="0" borderId="11" xfId="0" applyBorder="1"/>
    <xf numFmtId="0" fontId="11" fillId="0" borderId="3" xfId="0" applyFont="1" applyBorder="1"/>
    <xf numFmtId="0" fontId="11" fillId="0" borderId="3" xfId="0" applyFont="1" applyBorder="1" applyAlignment="1">
      <alignment vertical="center"/>
    </xf>
    <xf numFmtId="0" fontId="25" fillId="0" borderId="3" xfId="0" applyFont="1" applyBorder="1" applyAlignment="1">
      <alignment horizontal="left" vertical="center"/>
    </xf>
    <xf numFmtId="0" fontId="25" fillId="0" borderId="3" xfId="0" applyFont="1" applyBorder="1" applyAlignment="1">
      <alignment horizontal="center" vertical="center"/>
    </xf>
    <xf numFmtId="165" fontId="11" fillId="0" borderId="3" xfId="0" applyNumberFormat="1" applyFont="1" applyBorder="1" applyAlignment="1">
      <alignment horizontal="center" vertical="center"/>
    </xf>
    <xf numFmtId="165" fontId="23" fillId="0" borderId="6" xfId="0" applyNumberFormat="1" applyFont="1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28" fillId="0" borderId="3" xfId="0" applyFont="1" applyBorder="1" applyAlignment="1">
      <alignment horizontal="left" vertical="center"/>
    </xf>
    <xf numFmtId="0" fontId="28" fillId="0" borderId="3" xfId="0" applyFont="1" applyBorder="1" applyAlignment="1">
      <alignment horizontal="center" vertical="center"/>
    </xf>
    <xf numFmtId="165" fontId="0" fillId="0" borderId="3" xfId="0" applyNumberFormat="1" applyBorder="1" applyAlignment="1">
      <alignment horizontal="center" vertical="center"/>
    </xf>
    <xf numFmtId="165" fontId="31" fillId="0" borderId="6" xfId="0" applyNumberFormat="1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1" fillId="0" borderId="14" xfId="0" applyFont="1" applyBorder="1" applyAlignment="1">
      <alignment horizontal="center"/>
    </xf>
    <xf numFmtId="0" fontId="0" fillId="0" borderId="2" xfId="0" applyBorder="1" applyAlignment="1">
      <alignment horizontal="center"/>
    </xf>
    <xf numFmtId="0" fontId="5" fillId="0" borderId="2" xfId="0" quotePrefix="1" applyFont="1" applyBorder="1" applyAlignment="1">
      <alignment horizontal="left" vertical="center" wrapText="1"/>
    </xf>
    <xf numFmtId="0" fontId="11" fillId="3" borderId="2" xfId="0" applyFont="1" applyFill="1" applyBorder="1" applyAlignment="1">
      <alignment horizontal="center"/>
    </xf>
    <xf numFmtId="0" fontId="11" fillId="3" borderId="1" xfId="0" applyFont="1" applyFill="1" applyBorder="1" applyAlignment="1">
      <alignment horizontal="center" vertical="center"/>
    </xf>
    <xf numFmtId="167" fontId="27" fillId="4" borderId="9" xfId="6" applyNumberFormat="1" applyFont="1" applyFill="1" applyBorder="1" applyAlignment="1">
      <alignment horizontal="center" vertical="center"/>
    </xf>
    <xf numFmtId="167" fontId="27" fillId="4" borderId="7" xfId="6" applyNumberFormat="1" applyFont="1" applyFill="1" applyBorder="1" applyAlignment="1">
      <alignment horizontal="center" vertical="center"/>
    </xf>
    <xf numFmtId="167" fontId="27" fillId="4" borderId="13" xfId="6" applyNumberFormat="1" applyFont="1" applyFill="1" applyBorder="1" applyAlignment="1">
      <alignment horizontal="center" vertical="center"/>
    </xf>
    <xf numFmtId="0" fontId="14" fillId="0" borderId="2" xfId="0" applyFont="1" applyBorder="1" applyAlignment="1">
      <alignment horizontal="right"/>
    </xf>
    <xf numFmtId="0" fontId="14" fillId="0" borderId="0" xfId="0" applyFont="1" applyAlignment="1">
      <alignment horizontal="right"/>
    </xf>
    <xf numFmtId="0" fontId="14" fillId="0" borderId="10" xfId="0" applyFont="1" applyBorder="1" applyAlignment="1">
      <alignment horizontal="right"/>
    </xf>
    <xf numFmtId="0" fontId="15" fillId="0" borderId="2" xfId="0" applyFont="1" applyBorder="1" applyAlignment="1">
      <alignment horizontal="right"/>
    </xf>
    <xf numFmtId="0" fontId="15" fillId="0" borderId="0" xfId="0" applyFont="1" applyAlignment="1">
      <alignment horizontal="right"/>
    </xf>
    <xf numFmtId="0" fontId="15" fillId="0" borderId="10" xfId="0" applyFont="1" applyBorder="1" applyAlignment="1">
      <alignment horizontal="right"/>
    </xf>
    <xf numFmtId="0" fontId="17" fillId="0" borderId="4" xfId="0" applyFont="1" applyBorder="1" applyAlignment="1">
      <alignment horizontal="right"/>
    </xf>
    <xf numFmtId="0" fontId="17" fillId="0" borderId="5" xfId="0" applyFont="1" applyBorder="1" applyAlignment="1">
      <alignment horizontal="right"/>
    </xf>
    <xf numFmtId="0" fontId="17" fillId="0" borderId="12" xfId="0" applyFont="1" applyBorder="1" applyAlignment="1">
      <alignment horizontal="right"/>
    </xf>
    <xf numFmtId="0" fontId="27" fillId="4" borderId="9" xfId="6" applyFont="1" applyFill="1" applyBorder="1" applyAlignment="1">
      <alignment horizontal="center" vertical="center"/>
    </xf>
    <xf numFmtId="0" fontId="27" fillId="4" borderId="7" xfId="6" applyFont="1" applyFill="1" applyBorder="1" applyAlignment="1">
      <alignment horizontal="center" vertical="center"/>
    </xf>
    <xf numFmtId="0" fontId="27" fillId="4" borderId="13" xfId="6" applyFont="1" applyFill="1" applyBorder="1" applyAlignment="1">
      <alignment horizontal="center" vertical="center"/>
    </xf>
    <xf numFmtId="0" fontId="10" fillId="0" borderId="2" xfId="0" applyFont="1" applyBorder="1" applyAlignment="1">
      <alignment horizontal="right"/>
    </xf>
    <xf numFmtId="0" fontId="10" fillId="0" borderId="0" xfId="0" applyFont="1" applyAlignment="1">
      <alignment horizontal="right"/>
    </xf>
    <xf numFmtId="0" fontId="10" fillId="0" borderId="10" xfId="0" applyFont="1" applyBorder="1" applyAlignment="1">
      <alignment horizontal="right"/>
    </xf>
    <xf numFmtId="0" fontId="22" fillId="0" borderId="2" xfId="0" applyFont="1" applyBorder="1" applyAlignment="1">
      <alignment horizontal="right"/>
    </xf>
    <xf numFmtId="0" fontId="22" fillId="0" borderId="0" xfId="0" applyFont="1" applyAlignment="1">
      <alignment horizontal="right"/>
    </xf>
    <xf numFmtId="0" fontId="22" fillId="0" borderId="10" xfId="0" applyFont="1" applyBorder="1" applyAlignment="1">
      <alignment horizontal="right"/>
    </xf>
    <xf numFmtId="0" fontId="23" fillId="0" borderId="2" xfId="0" applyFont="1" applyBorder="1" applyAlignment="1">
      <alignment horizontal="right"/>
    </xf>
    <xf numFmtId="0" fontId="23" fillId="0" borderId="0" xfId="0" applyFont="1" applyAlignment="1">
      <alignment horizontal="right"/>
    </xf>
    <xf numFmtId="0" fontId="23" fillId="0" borderId="10" xfId="0" applyFont="1" applyBorder="1" applyAlignment="1">
      <alignment horizontal="right"/>
    </xf>
    <xf numFmtId="0" fontId="19" fillId="0" borderId="2" xfId="0" applyFont="1" applyBorder="1" applyAlignment="1">
      <alignment horizontal="right"/>
    </xf>
    <xf numFmtId="0" fontId="19" fillId="0" borderId="0" xfId="0" applyFont="1" applyAlignment="1">
      <alignment horizontal="right"/>
    </xf>
    <xf numFmtId="0" fontId="19" fillId="0" borderId="10" xfId="0" applyFont="1" applyBorder="1" applyAlignment="1">
      <alignment horizontal="right"/>
    </xf>
    <xf numFmtId="0" fontId="20" fillId="0" borderId="2" xfId="0" applyFont="1" applyBorder="1" applyAlignment="1">
      <alignment horizontal="right"/>
    </xf>
    <xf numFmtId="0" fontId="20" fillId="0" borderId="0" xfId="0" applyFont="1" applyAlignment="1">
      <alignment horizontal="right"/>
    </xf>
    <xf numFmtId="0" fontId="20" fillId="0" borderId="10" xfId="0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0" fontId="21" fillId="0" borderId="0" xfId="0" applyFont="1" applyAlignment="1">
      <alignment horizontal="right"/>
    </xf>
    <xf numFmtId="0" fontId="21" fillId="0" borderId="10" xfId="0" applyFont="1" applyBorder="1" applyAlignment="1">
      <alignment horizontal="right"/>
    </xf>
  </cellXfs>
  <cellStyles count="10">
    <cellStyle name="Monétaire 2" xfId="2" xr:uid="{00000000-0005-0000-0000-000001000000}"/>
    <cellStyle name="Monétaire 2 2" xfId="8" xr:uid="{EF956008-4DA9-4BE2-BA12-2171F283B802}"/>
    <cellStyle name="Normal" xfId="0" builtinId="0"/>
    <cellStyle name="Normal 2" xfId="1" xr:uid="{00000000-0005-0000-0000-000003000000}"/>
    <cellStyle name="Normal 2 2" xfId="3" xr:uid="{00000000-0005-0000-0000-000004000000}"/>
    <cellStyle name="Normal 2 2 2" xfId="9" xr:uid="{307CC90A-4F3C-4600-8205-048EE222EFD0}"/>
    <cellStyle name="Normal 4" xfId="5" xr:uid="{00000000-0005-0000-0000-000005000000}"/>
    <cellStyle name="Normal 7" xfId="7" xr:uid="{E965C328-CF07-4A27-9024-A453491BA399}"/>
    <cellStyle name="Normal_esimation sommaire EP aide au PAT" xfId="4" xr:uid="{00000000-0005-0000-0000-000007000000}"/>
    <cellStyle name="Normal_EvadeVCN9P2" xfId="6" xr:uid="{CBA054A2-1471-4DCC-BB50-43988142F125}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552450</xdr:colOff>
          <xdr:row>41</xdr:row>
          <xdr:rowOff>142875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tephanieL\Desktop\T&#233;l&#233;travail\Barnoud\Eglise%20Cosne%20sur%20Loire\EvadeECL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tephanieL\Desktop\T&#233;l&#233;travail\Brunelle\Rue%20de%20Civry\Am&#233;nagements\Minute%20RDC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no TF"/>
      <sheetName val="ED Maç VC"/>
      <sheetName val="ED Maç BC"/>
      <sheetName val="ED Maç Ch et Ab"/>
      <sheetName val="ED Maç Var. sol"/>
      <sheetName val="ED Maç Opt 1"/>
      <sheetName val="ED Sculp Chapit"/>
      <sheetName val="ED Chb VC"/>
      <sheetName val="ED Chb BC"/>
      <sheetName val="ED Chb Ch et Ab"/>
      <sheetName val="ED Men VC"/>
      <sheetName val="ED Men BC"/>
      <sheetName val="ED Men Ch et Ab"/>
      <sheetName val="ED Déc VC"/>
      <sheetName val="ED Déc BC"/>
      <sheetName val="ED Déc Ch et Ab"/>
      <sheetName val="Récap. Tx"/>
      <sheetName val="Récap. Tx + Hono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inute RDCA"/>
      <sheetName val="Minute RDCA.xls"/>
      <sheetName val="Minute%20RDCA.xls"/>
    </sheetNames>
    <definedNames>
      <definedName name="AfficherFormule"/>
    </defined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ackage" Target="../embeddings/Microsoft_Word_Document.docx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82FF8B-9EE1-47BF-8D71-2F964FC3A21D}">
  <sheetPr>
    <tabColor theme="9"/>
  </sheetPr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Word.Document.8" shapeId="1025" r:id="rId3">
          <objectPr defaultSize="0" r:id="rId4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552450</xdr:colOff>
                <xdr:row>41</xdr:row>
                <xdr:rowOff>142875</xdr:rowOff>
              </to>
            </anchor>
          </objectPr>
        </oleObject>
      </mc:Choice>
      <mc:Fallback>
        <oleObject progId="Word.Document.8" shapeId="1025" r:id="rId3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86F91C-DA26-4531-BC92-0800F2E99263}">
  <sheetPr codeName="Feuil15">
    <tabColor theme="9"/>
    <pageSetUpPr fitToPage="1"/>
  </sheetPr>
  <dimension ref="A1:P164"/>
  <sheetViews>
    <sheetView showGridLines="0" view="pageBreakPreview" zoomScale="130" zoomScaleNormal="100" zoomScaleSheetLayoutView="130" workbookViewId="0">
      <selection activeCell="C109" sqref="C109"/>
    </sheetView>
  </sheetViews>
  <sheetFormatPr baseColWidth="10" defaultRowHeight="15" outlineLevelRow="1" outlineLevelCol="1" x14ac:dyDescent="0.25"/>
  <cols>
    <col min="1" max="1" width="5" customWidth="1"/>
    <col min="2" max="2" width="11.5703125" style="7" customWidth="1"/>
    <col min="3" max="3" width="53.85546875" customWidth="1"/>
    <col min="4" max="4" width="32.28515625" style="32" hidden="1" customWidth="1" outlineLevel="1"/>
    <col min="5" max="5" width="5" hidden="1" customWidth="1" outlineLevel="1"/>
    <col min="6" max="6" width="11.42578125" hidden="1" customWidth="1" outlineLevel="1"/>
    <col min="7" max="7" width="4.5703125" hidden="1" customWidth="1" outlineLevel="1"/>
    <col min="8" max="8" width="11.42578125" hidden="1" customWidth="1" outlineLevel="1"/>
    <col min="9" max="9" width="4.140625" hidden="1" customWidth="1" outlineLevel="1"/>
    <col min="10" max="10" width="11.42578125" hidden="1" customWidth="1" outlineLevel="1"/>
    <col min="11" max="11" width="8.28515625" customWidth="1" collapsed="1"/>
    <col min="12" max="12" width="10.7109375" style="32" customWidth="1"/>
    <col min="13" max="13" width="14.42578125" customWidth="1"/>
    <col min="14" max="14" width="16.28515625" customWidth="1"/>
  </cols>
  <sheetData>
    <row r="1" spans="1:14" x14ac:dyDescent="0.25">
      <c r="A1" s="2" t="s">
        <v>6</v>
      </c>
      <c r="B1" s="29" t="s">
        <v>11</v>
      </c>
      <c r="C1" s="87" t="s">
        <v>0</v>
      </c>
      <c r="D1" s="131" t="s">
        <v>17</v>
      </c>
      <c r="E1" s="132"/>
      <c r="F1" s="132"/>
      <c r="G1" s="132"/>
      <c r="H1" s="132"/>
      <c r="I1" s="132"/>
      <c r="J1" s="133"/>
      <c r="K1" s="29" t="s">
        <v>1</v>
      </c>
      <c r="L1" s="29" t="s">
        <v>2</v>
      </c>
      <c r="M1" s="30" t="s">
        <v>3</v>
      </c>
      <c r="N1" s="4" t="s">
        <v>12</v>
      </c>
    </row>
    <row r="2" spans="1:14" x14ac:dyDescent="0.25">
      <c r="A2" s="11"/>
      <c r="B2" s="38"/>
      <c r="C2" s="17"/>
      <c r="D2" s="35"/>
      <c r="E2" s="36"/>
      <c r="F2" s="36"/>
      <c r="G2" s="36"/>
      <c r="H2" s="36"/>
      <c r="I2" s="36"/>
      <c r="J2" s="37"/>
      <c r="K2" s="38"/>
      <c r="L2" s="38"/>
      <c r="M2" s="39"/>
      <c r="N2" s="26"/>
    </row>
    <row r="3" spans="1:14" x14ac:dyDescent="0.25">
      <c r="A3" s="11"/>
      <c r="B3" s="38"/>
      <c r="C3" s="17"/>
      <c r="D3" s="35"/>
      <c r="E3" s="36"/>
      <c r="F3" s="36"/>
      <c r="G3" s="36"/>
      <c r="H3" s="36"/>
      <c r="I3" s="36"/>
      <c r="J3" s="37"/>
      <c r="K3" s="38"/>
      <c r="L3" s="38"/>
      <c r="M3" s="39"/>
      <c r="N3" s="26"/>
    </row>
    <row r="4" spans="1:14" x14ac:dyDescent="0.25">
      <c r="A4" s="11"/>
      <c r="B4" s="38"/>
      <c r="C4" s="88" t="s">
        <v>292</v>
      </c>
      <c r="D4" s="35"/>
      <c r="E4" s="36"/>
      <c r="F4" s="36"/>
      <c r="G4" s="36"/>
      <c r="H4" s="36"/>
      <c r="I4" s="36"/>
      <c r="J4" s="37"/>
      <c r="K4" s="38"/>
      <c r="L4" s="38"/>
      <c r="M4" s="39"/>
      <c r="N4" s="26"/>
    </row>
    <row r="5" spans="1:14" x14ac:dyDescent="0.25">
      <c r="A5" s="1" t="str">
        <f>IF(L6="","",MAX($A$1:$A4)+1)</f>
        <v/>
      </c>
      <c r="B5" s="38"/>
      <c r="C5" s="17"/>
      <c r="D5" s="35"/>
      <c r="E5" s="36"/>
      <c r="F5" s="36"/>
      <c r="G5" s="36"/>
      <c r="H5" s="36"/>
      <c r="I5" s="36"/>
      <c r="J5" s="37"/>
      <c r="K5" s="38"/>
      <c r="L5" s="38"/>
      <c r="M5" s="39"/>
      <c r="N5" s="26"/>
    </row>
    <row r="6" spans="1:14" x14ac:dyDescent="0.25">
      <c r="A6" s="1" t="str">
        <f>IF(L7="","",MAX($A$1:$A5)+1)</f>
        <v/>
      </c>
      <c r="B6" s="38"/>
      <c r="C6" s="89" t="s">
        <v>13</v>
      </c>
      <c r="D6" s="35"/>
      <c r="E6" s="36"/>
      <c r="F6" s="36"/>
      <c r="G6" s="36"/>
      <c r="H6" s="36"/>
      <c r="I6" s="36"/>
      <c r="J6" s="37"/>
      <c r="K6" s="38"/>
      <c r="L6" s="38"/>
      <c r="M6" s="39"/>
      <c r="N6" s="26"/>
    </row>
    <row r="7" spans="1:14" x14ac:dyDescent="0.25">
      <c r="A7" s="1" t="str">
        <f>IF(L8="","",MAX($A$1:$A6)+1)</f>
        <v/>
      </c>
      <c r="B7" s="38"/>
      <c r="C7" s="17"/>
      <c r="D7" s="35"/>
      <c r="E7" s="36"/>
      <c r="F7" s="36"/>
      <c r="G7" s="36"/>
      <c r="H7" s="36"/>
      <c r="I7" s="36"/>
      <c r="J7" s="37"/>
      <c r="K7" s="38"/>
      <c r="L7" s="38"/>
      <c r="M7" s="39"/>
      <c r="N7" s="26"/>
    </row>
    <row r="8" spans="1:14" x14ac:dyDescent="0.25">
      <c r="A8" s="1" t="str">
        <f>IF(L9="","",MAX($A$1:$A7)+1)</f>
        <v/>
      </c>
      <c r="B8" s="38"/>
      <c r="C8" s="40" t="s">
        <v>22</v>
      </c>
      <c r="D8" s="36"/>
      <c r="E8" s="36"/>
      <c r="F8" s="36"/>
      <c r="G8" s="36"/>
      <c r="H8" s="36"/>
      <c r="I8" s="36"/>
      <c r="J8" s="37"/>
      <c r="K8" s="38"/>
      <c r="L8" s="38"/>
      <c r="M8" s="39"/>
      <c r="N8" s="26"/>
    </row>
    <row r="9" spans="1:14" x14ac:dyDescent="0.25">
      <c r="A9" s="1" t="str">
        <f>IF(L9="","",MAX($A$1:$A8)+1)</f>
        <v/>
      </c>
      <c r="B9" s="38"/>
      <c r="C9" s="41"/>
      <c r="D9" s="36"/>
      <c r="E9" s="36"/>
      <c r="F9" s="36"/>
      <c r="G9" s="36"/>
      <c r="H9" s="36"/>
      <c r="I9" s="36"/>
      <c r="J9" s="37"/>
      <c r="K9" s="38"/>
      <c r="L9" s="38"/>
      <c r="M9" s="39"/>
      <c r="N9" s="26"/>
    </row>
    <row r="10" spans="1:14" x14ac:dyDescent="0.25">
      <c r="A10" s="1">
        <f>IF(L10="","",MAX($A$1:$A9)+1)</f>
        <v>1</v>
      </c>
      <c r="B10" s="38" t="s">
        <v>230</v>
      </c>
      <c r="C10" s="42" t="s">
        <v>24</v>
      </c>
      <c r="D10" s="35" t="s">
        <v>25</v>
      </c>
      <c r="E10" s="36" t="s">
        <v>18</v>
      </c>
      <c r="F10" s="36">
        <v>65.599999999999994</v>
      </c>
      <c r="G10" s="36" t="s">
        <v>19</v>
      </c>
      <c r="H10" s="36">
        <v>0.4</v>
      </c>
      <c r="I10" s="36" t="s">
        <v>18</v>
      </c>
      <c r="J10" s="37">
        <f>SUM(F10:H10)</f>
        <v>66</v>
      </c>
      <c r="K10" s="38" t="s">
        <v>7</v>
      </c>
      <c r="L10" s="43">
        <v>66</v>
      </c>
      <c r="M10" s="39"/>
      <c r="N10" s="26">
        <f>M10*L10</f>
        <v>0</v>
      </c>
    </row>
    <row r="11" spans="1:14" x14ac:dyDescent="0.25">
      <c r="A11" s="1" t="str">
        <f>IF(L11="","",MAX($A$1:$A10)+1)</f>
        <v/>
      </c>
      <c r="B11" s="38"/>
      <c r="C11" s="41"/>
      <c r="D11" s="35"/>
      <c r="E11" s="36"/>
      <c r="F11" s="36"/>
      <c r="G11" s="36"/>
      <c r="H11" s="36"/>
      <c r="I11" s="36"/>
      <c r="J11" s="37"/>
      <c r="K11" s="38"/>
      <c r="L11" s="38"/>
      <c r="M11" s="39"/>
      <c r="N11" s="26"/>
    </row>
    <row r="12" spans="1:14" x14ac:dyDescent="0.25">
      <c r="A12" s="1" t="str">
        <f>IF(L12="","",MAX($A$1:$A11)+1)</f>
        <v/>
      </c>
      <c r="B12" s="38"/>
      <c r="C12" s="40" t="s">
        <v>26</v>
      </c>
      <c r="D12" s="35"/>
      <c r="E12" s="36"/>
      <c r="F12" s="36"/>
      <c r="G12" s="36"/>
      <c r="H12" s="36"/>
      <c r="I12" s="36"/>
      <c r="J12" s="37"/>
      <c r="K12" s="38"/>
      <c r="L12" s="38"/>
      <c r="M12" s="39"/>
      <c r="N12" s="26"/>
    </row>
    <row r="13" spans="1:14" x14ac:dyDescent="0.25">
      <c r="A13" s="1" t="str">
        <f>IF(L13="","",MAX($A$1:$A12)+1)</f>
        <v/>
      </c>
      <c r="B13" s="38"/>
      <c r="C13" s="44"/>
      <c r="D13" s="35"/>
      <c r="E13" s="36"/>
      <c r="F13" s="36"/>
      <c r="G13" s="36"/>
      <c r="H13" s="36"/>
      <c r="I13" s="36"/>
      <c r="J13" s="37"/>
      <c r="K13" s="38"/>
      <c r="L13" s="38"/>
      <c r="M13" s="39"/>
      <c r="N13" s="26"/>
    </row>
    <row r="14" spans="1:14" x14ac:dyDescent="0.25">
      <c r="A14" s="1" t="str">
        <f>IF(L14="","",MAX($A$1:$A13)+1)</f>
        <v/>
      </c>
      <c r="B14" s="38"/>
      <c r="C14" s="45" t="s">
        <v>27</v>
      </c>
      <c r="D14" s="35"/>
      <c r="E14" s="36"/>
      <c r="F14" s="36"/>
      <c r="G14" s="36"/>
      <c r="H14" s="36"/>
      <c r="I14" s="36"/>
      <c r="J14" s="37"/>
      <c r="K14" s="38"/>
      <c r="L14" s="38"/>
      <c r="M14" s="39"/>
      <c r="N14" s="26"/>
    </row>
    <row r="15" spans="1:14" x14ac:dyDescent="0.25">
      <c r="A15" s="1" t="str">
        <f>IF(L15="","",MAX($A$1:$A14)+1)</f>
        <v/>
      </c>
      <c r="B15" s="38"/>
      <c r="C15" s="45"/>
      <c r="D15" s="35"/>
      <c r="E15" s="36"/>
      <c r="F15" s="36"/>
      <c r="G15" s="36"/>
      <c r="H15" s="36"/>
      <c r="I15" s="36"/>
      <c r="J15" s="37"/>
      <c r="K15" s="38"/>
      <c r="L15" s="38"/>
      <c r="M15" s="39"/>
      <c r="N15" s="26"/>
    </row>
    <row r="16" spans="1:14" x14ac:dyDescent="0.25">
      <c r="A16" s="1">
        <f>IF(L16="","",MAX($A$1:$A15)+1)</f>
        <v>2</v>
      </c>
      <c r="B16" s="38" t="s">
        <v>231</v>
      </c>
      <c r="C16" s="98" t="s">
        <v>289</v>
      </c>
      <c r="D16" s="35"/>
      <c r="E16" s="36"/>
      <c r="F16" s="36"/>
      <c r="G16" s="36"/>
      <c r="H16" s="36"/>
      <c r="I16" s="36"/>
      <c r="J16" s="36"/>
      <c r="K16" s="12" t="s">
        <v>4</v>
      </c>
      <c r="L16" s="12">
        <v>1</v>
      </c>
      <c r="M16" s="13"/>
      <c r="N16" s="26">
        <f>M16*L16</f>
        <v>0</v>
      </c>
    </row>
    <row r="17" spans="1:14" x14ac:dyDescent="0.25">
      <c r="A17" s="1" t="str">
        <f>IF(L17="","",MAX($A$1:$A16)+1)</f>
        <v/>
      </c>
      <c r="B17" s="38"/>
      <c r="C17" s="40"/>
      <c r="D17" s="35"/>
      <c r="E17" s="36"/>
      <c r="F17" s="36"/>
      <c r="G17" s="36"/>
      <c r="H17" s="36"/>
      <c r="I17" s="36"/>
      <c r="J17" s="36"/>
      <c r="K17" s="12"/>
      <c r="L17" s="12"/>
      <c r="M17" s="13"/>
      <c r="N17" s="13"/>
    </row>
    <row r="18" spans="1:14" x14ac:dyDescent="0.25">
      <c r="A18" s="1">
        <f>IF(L18="","",MAX($A$1:$A17)+1)</f>
        <v>3</v>
      </c>
      <c r="B18" s="38" t="s">
        <v>232</v>
      </c>
      <c r="C18" s="46" t="s">
        <v>28</v>
      </c>
      <c r="D18" s="35"/>
      <c r="E18" s="36" t="s">
        <v>18</v>
      </c>
      <c r="F18" s="36">
        <f>8*((1.1+0.3)/2+4*0.1)*5.3</f>
        <v>46.64</v>
      </c>
      <c r="G18" s="36" t="s">
        <v>19</v>
      </c>
      <c r="H18" s="36">
        <v>0.36</v>
      </c>
      <c r="I18" s="36" t="s">
        <v>18</v>
      </c>
      <c r="J18" s="47">
        <f>SUM(F18:H18)</f>
        <v>47</v>
      </c>
      <c r="K18" s="38" t="s">
        <v>7</v>
      </c>
      <c r="L18" s="43">
        <v>47</v>
      </c>
      <c r="M18" s="39"/>
      <c r="N18" s="26">
        <f>M18*L18</f>
        <v>0</v>
      </c>
    </row>
    <row r="19" spans="1:14" x14ac:dyDescent="0.25">
      <c r="A19" s="1">
        <f>IF(L19="","",MAX($A$1:$A18)+1)</f>
        <v>4</v>
      </c>
      <c r="B19" s="38" t="s">
        <v>232</v>
      </c>
      <c r="C19" s="46" t="s">
        <v>29</v>
      </c>
      <c r="D19" s="35"/>
      <c r="E19" s="36" t="s">
        <v>18</v>
      </c>
      <c r="F19" s="48">
        <f>2*PI()*0.4*0.3</f>
        <v>0.75</v>
      </c>
      <c r="G19" s="36"/>
      <c r="H19" s="48"/>
      <c r="I19" s="36"/>
      <c r="J19" s="37"/>
      <c r="K19" s="38" t="s">
        <v>4</v>
      </c>
      <c r="L19" s="38">
        <v>1</v>
      </c>
      <c r="M19" s="39"/>
      <c r="N19" s="26">
        <f t="shared" ref="N19:N70" si="0">M19*L19</f>
        <v>0</v>
      </c>
    </row>
    <row r="20" spans="1:14" x14ac:dyDescent="0.25">
      <c r="A20" s="1">
        <f>IF(L20="","",MAX($A$1:$A19)+1)</f>
        <v>5</v>
      </c>
      <c r="B20" s="38" t="s">
        <v>232</v>
      </c>
      <c r="C20" s="46" t="s">
        <v>30</v>
      </c>
      <c r="D20" s="35" t="s">
        <v>31</v>
      </c>
      <c r="E20" s="36" t="s">
        <v>18</v>
      </c>
      <c r="F20" s="48">
        <f>PI()*8.7</f>
        <v>27.33</v>
      </c>
      <c r="G20" s="48" t="s">
        <v>19</v>
      </c>
      <c r="H20" s="48">
        <v>0.17</v>
      </c>
      <c r="I20" s="48" t="s">
        <v>18</v>
      </c>
      <c r="J20" s="47">
        <f>SUM(F20:H20)</f>
        <v>27.5</v>
      </c>
      <c r="K20" s="38" t="s">
        <v>5</v>
      </c>
      <c r="L20" s="43">
        <v>27.5</v>
      </c>
      <c r="M20" s="39"/>
      <c r="N20" s="26">
        <f t="shared" si="0"/>
        <v>0</v>
      </c>
    </row>
    <row r="21" spans="1:14" x14ac:dyDescent="0.25">
      <c r="A21" s="1">
        <f>IF(L21="","",MAX($A$1:$A20)+1)</f>
        <v>6</v>
      </c>
      <c r="B21" s="38" t="s">
        <v>232</v>
      </c>
      <c r="C21" s="46" t="s">
        <v>32</v>
      </c>
      <c r="D21" s="35"/>
      <c r="E21" s="36"/>
      <c r="F21" s="36"/>
      <c r="G21" s="36"/>
      <c r="H21" s="36"/>
      <c r="I21" s="36"/>
      <c r="J21" s="37"/>
      <c r="K21" s="38" t="s">
        <v>7</v>
      </c>
      <c r="L21" s="43">
        <v>198</v>
      </c>
      <c r="M21" s="39"/>
      <c r="N21" s="26">
        <f t="shared" si="0"/>
        <v>0</v>
      </c>
    </row>
    <row r="22" spans="1:14" hidden="1" outlineLevel="1" x14ac:dyDescent="0.25">
      <c r="A22" s="1" t="str">
        <f>IF(L22="","",MAX($A$1:$A21)+1)</f>
        <v/>
      </c>
      <c r="B22" s="38"/>
      <c r="C22" s="49" t="s">
        <v>8</v>
      </c>
      <c r="D22" s="35"/>
      <c r="E22" s="36"/>
      <c r="F22" s="36"/>
      <c r="G22" s="36"/>
      <c r="H22" s="36"/>
      <c r="I22" s="36"/>
      <c r="J22" s="37"/>
      <c r="K22" s="38"/>
      <c r="L22" s="38"/>
      <c r="M22" s="39"/>
      <c r="N22" s="26"/>
    </row>
    <row r="23" spans="1:14" hidden="1" outlineLevel="1" x14ac:dyDescent="0.25">
      <c r="A23" s="1" t="str">
        <f>IF(L23="","",MAX($A$1:$A22)+1)</f>
        <v/>
      </c>
      <c r="B23" s="38"/>
      <c r="C23" s="49"/>
      <c r="D23" s="35" t="s">
        <v>33</v>
      </c>
      <c r="E23" s="36" t="s">
        <v>18</v>
      </c>
      <c r="F23" s="36">
        <f>2*(14+2*(2.7+1))*0.5</f>
        <v>21.4</v>
      </c>
      <c r="G23" s="36"/>
      <c r="H23" s="36"/>
      <c r="I23" s="36"/>
      <c r="J23" s="37"/>
      <c r="K23" s="38"/>
      <c r="L23" s="38"/>
      <c r="M23" s="39"/>
      <c r="N23" s="26"/>
    </row>
    <row r="24" spans="1:14" ht="22.5" hidden="1" outlineLevel="1" x14ac:dyDescent="0.25">
      <c r="A24" s="1" t="str">
        <f>IF(L24="","",MAX($A$1:$A23)+1)</f>
        <v/>
      </c>
      <c r="B24" s="38"/>
      <c r="C24" s="49"/>
      <c r="D24" s="50" t="s">
        <v>34</v>
      </c>
      <c r="E24" s="36" t="s">
        <v>18</v>
      </c>
      <c r="F24" s="48">
        <f>(2*(14+2*(2.7+1))+4*(2+0.88))*0.2</f>
        <v>10.86</v>
      </c>
      <c r="G24" s="36"/>
      <c r="H24" s="36"/>
      <c r="I24" s="36"/>
      <c r="J24" s="37"/>
      <c r="K24" s="38"/>
      <c r="L24" s="38"/>
      <c r="M24" s="39"/>
      <c r="N24" s="26"/>
    </row>
    <row r="25" spans="1:14" hidden="1" outlineLevel="1" x14ac:dyDescent="0.25">
      <c r="A25" s="1" t="str">
        <f>IF(L25="","",MAX($A$1:$A24)+1)</f>
        <v/>
      </c>
      <c r="B25" s="38"/>
      <c r="C25" s="49"/>
      <c r="D25" s="50" t="s">
        <v>35</v>
      </c>
      <c r="E25" s="36" t="s">
        <v>18</v>
      </c>
      <c r="F25" s="48">
        <f>8*(2*0.88-2*PI()*0.75*0.75/4)</f>
        <v>7.01</v>
      </c>
      <c r="G25" s="36" t="s">
        <v>18</v>
      </c>
      <c r="H25" s="48">
        <f>SUM(F23:F25)</f>
        <v>39.270000000000003</v>
      </c>
      <c r="I25" s="36"/>
      <c r="J25" s="37"/>
      <c r="K25" s="38"/>
      <c r="L25" s="38"/>
      <c r="M25" s="39"/>
      <c r="N25" s="26"/>
    </row>
    <row r="26" spans="1:14" hidden="1" outlineLevel="1" x14ac:dyDescent="0.25">
      <c r="A26" s="1" t="str">
        <f>IF(L26="","",MAX($A$1:$A25)+1)</f>
        <v/>
      </c>
      <c r="B26" s="38"/>
      <c r="C26" s="49" t="s">
        <v>9</v>
      </c>
      <c r="D26" s="35"/>
      <c r="E26" s="36"/>
      <c r="F26" s="36"/>
      <c r="G26" s="36"/>
      <c r="H26" s="36"/>
      <c r="I26" s="36"/>
      <c r="J26" s="37"/>
      <c r="K26" s="38"/>
      <c r="L26" s="38"/>
      <c r="M26" s="39"/>
      <c r="N26" s="26"/>
    </row>
    <row r="27" spans="1:14" hidden="1" outlineLevel="1" x14ac:dyDescent="0.25">
      <c r="A27" s="1" t="str">
        <f>IF(L27="","",MAX($A$1:$A26)+1)</f>
        <v/>
      </c>
      <c r="B27" s="38"/>
      <c r="C27" s="49"/>
      <c r="D27" s="35" t="s">
        <v>36</v>
      </c>
      <c r="E27" s="36" t="s">
        <v>18</v>
      </c>
      <c r="F27" s="36">
        <f>2*(13.35+6+8.2+3*0.75)*0.5</f>
        <v>29.8</v>
      </c>
      <c r="G27" s="36"/>
      <c r="H27" s="36"/>
      <c r="I27" s="36"/>
      <c r="J27" s="37"/>
      <c r="K27" s="38"/>
      <c r="L27" s="38"/>
      <c r="M27" s="39"/>
      <c r="N27" s="26"/>
    </row>
    <row r="28" spans="1:14" hidden="1" outlineLevel="1" x14ac:dyDescent="0.25">
      <c r="A28" s="1" t="str">
        <f>IF(L28="","",MAX($A$1:$A27)+1)</f>
        <v/>
      </c>
      <c r="B28" s="38"/>
      <c r="C28" s="49"/>
      <c r="D28" s="35" t="s">
        <v>37</v>
      </c>
      <c r="E28" s="36" t="s">
        <v>18</v>
      </c>
      <c r="F28" s="36">
        <f>2*(13.35+6+8.2+3*0.75)*0.2</f>
        <v>11.92</v>
      </c>
      <c r="G28" s="36"/>
      <c r="H28" s="36"/>
      <c r="I28" s="36"/>
      <c r="J28" s="37"/>
      <c r="K28" s="38"/>
      <c r="L28" s="38"/>
      <c r="M28" s="39"/>
      <c r="N28" s="26"/>
    </row>
    <row r="29" spans="1:14" hidden="1" outlineLevel="1" x14ac:dyDescent="0.25">
      <c r="A29" s="1" t="str">
        <f>IF(L29="","",MAX($A$1:$A28)+1)</f>
        <v/>
      </c>
      <c r="B29" s="38"/>
      <c r="C29" s="49"/>
      <c r="D29" s="35" t="s">
        <v>38</v>
      </c>
      <c r="E29" s="36" t="s">
        <v>18</v>
      </c>
      <c r="F29" s="48">
        <f>8.55*8.55+4*8.55*1.55+3*2*1.4*0.8+1.6*0.8+1.3*0.8 -PI()*4.5*4.5</f>
        <v>71.540000000000006</v>
      </c>
      <c r="G29" s="36"/>
      <c r="H29" s="36"/>
      <c r="I29" s="36"/>
      <c r="J29" s="37"/>
      <c r="K29" s="38"/>
      <c r="L29" s="38"/>
      <c r="M29" s="39"/>
      <c r="N29" s="26"/>
    </row>
    <row r="30" spans="1:14" ht="22.5" hidden="1" outlineLevel="1" x14ac:dyDescent="0.25">
      <c r="A30" s="1" t="str">
        <f>IF(L30="","",MAX($A$1:$A29)+1)</f>
        <v/>
      </c>
      <c r="B30" s="38"/>
      <c r="C30" s="49"/>
      <c r="D30" s="50" t="s">
        <v>39</v>
      </c>
      <c r="E30" s="36" t="s">
        <v>18</v>
      </c>
      <c r="F30" s="48">
        <f>PI()*2*1.55/2+PI()*1*1</f>
        <v>8.01</v>
      </c>
      <c r="G30" s="36"/>
      <c r="H30" s="36"/>
      <c r="I30" s="36"/>
      <c r="J30" s="37"/>
      <c r="K30" s="38"/>
      <c r="L30" s="38"/>
      <c r="M30" s="39"/>
      <c r="N30" s="26"/>
    </row>
    <row r="31" spans="1:14" hidden="1" outlineLevel="1" x14ac:dyDescent="0.25">
      <c r="A31" s="1" t="str">
        <f>IF(L31="","",MAX($A$1:$A30)+1)</f>
        <v/>
      </c>
      <c r="B31" s="38"/>
      <c r="C31" s="49"/>
      <c r="D31" s="35"/>
      <c r="E31" s="36"/>
      <c r="F31" s="36"/>
      <c r="G31" s="36" t="s">
        <v>18</v>
      </c>
      <c r="H31" s="48">
        <f>SUM(F27:F31)</f>
        <v>121.27</v>
      </c>
      <c r="I31" s="36"/>
      <c r="J31" s="37"/>
      <c r="K31" s="38"/>
      <c r="L31" s="38"/>
      <c r="M31" s="39"/>
      <c r="N31" s="26"/>
    </row>
    <row r="32" spans="1:14" hidden="1" outlineLevel="1" x14ac:dyDescent="0.25">
      <c r="A32" s="1" t="str">
        <f>IF(L32="","",MAX($A$1:$A31)+1)</f>
        <v/>
      </c>
      <c r="B32" s="38"/>
      <c r="C32" s="49" t="s">
        <v>10</v>
      </c>
      <c r="D32" s="35" t="s">
        <v>40</v>
      </c>
      <c r="E32" s="36" t="s">
        <v>18</v>
      </c>
      <c r="F32" s="48">
        <f>PI()*(4.75*4.75-4.35*4.35)/2+PI()*(4.85*4.85-4.35*4.35)/2</f>
        <v>12.94</v>
      </c>
      <c r="G32" s="36" t="s">
        <v>18</v>
      </c>
      <c r="H32" s="48">
        <f>F32</f>
        <v>12.94</v>
      </c>
      <c r="I32" s="36"/>
      <c r="J32" s="37"/>
      <c r="K32" s="38"/>
      <c r="L32" s="38"/>
      <c r="M32" s="39"/>
      <c r="N32" s="26"/>
    </row>
    <row r="33" spans="1:14" hidden="1" outlineLevel="1" x14ac:dyDescent="0.25">
      <c r="A33" s="1" t="str">
        <f>IF(L33="","",MAX($A$1:$A32)+1)</f>
        <v/>
      </c>
      <c r="B33" s="38"/>
      <c r="C33" s="49" t="s">
        <v>41</v>
      </c>
      <c r="D33" s="35" t="s">
        <v>42</v>
      </c>
      <c r="E33" s="36" t="s">
        <v>18</v>
      </c>
      <c r="F33" s="48">
        <f>2*(PI()*2*1.8-8*(0.4*1.2+PI()*0.2*0.2/2))+8*(2*0.2*1.2+PI()*0.4/2)</f>
        <v>22.8</v>
      </c>
      <c r="G33" s="36"/>
      <c r="H33" s="48"/>
      <c r="I33" s="36"/>
      <c r="J33" s="37"/>
      <c r="K33" s="38"/>
      <c r="L33" s="38"/>
      <c r="M33" s="39"/>
      <c r="N33" s="26"/>
    </row>
    <row r="34" spans="1:14" hidden="1" outlineLevel="1" x14ac:dyDescent="0.25">
      <c r="A34" s="1" t="str">
        <f>IF(L34="","",MAX($A$1:$A33)+1)</f>
        <v/>
      </c>
      <c r="B34" s="38"/>
      <c r="C34" s="49"/>
      <c r="D34" s="35" t="s">
        <v>43</v>
      </c>
      <c r="E34" s="36" t="s">
        <v>18</v>
      </c>
      <c r="F34" s="48">
        <f>2*PI()*0.4*0.3</f>
        <v>0.75</v>
      </c>
      <c r="G34" s="36" t="s">
        <v>18</v>
      </c>
      <c r="H34" s="48">
        <f>SUM(F33:F34)</f>
        <v>23.55</v>
      </c>
      <c r="I34" s="36"/>
      <c r="J34" s="37"/>
      <c r="K34" s="38"/>
      <c r="L34" s="38"/>
      <c r="M34" s="39"/>
      <c r="N34" s="26"/>
    </row>
    <row r="35" spans="1:14" hidden="1" outlineLevel="1" x14ac:dyDescent="0.25">
      <c r="A35" s="1" t="str">
        <f>IF(L35="","",MAX($A$1:$A34)+1)</f>
        <v/>
      </c>
      <c r="B35" s="38"/>
      <c r="C35" s="49"/>
      <c r="D35" s="35"/>
      <c r="E35" s="36"/>
      <c r="F35" s="36"/>
      <c r="G35" s="36"/>
      <c r="H35" s="36">
        <v>0.97</v>
      </c>
      <c r="I35" s="36" t="s">
        <v>18</v>
      </c>
      <c r="J35" s="47">
        <f>SUM(H23:H35)</f>
        <v>198</v>
      </c>
      <c r="K35" s="38"/>
      <c r="L35" s="38"/>
      <c r="M35" s="39"/>
      <c r="N35" s="26"/>
    </row>
    <row r="36" spans="1:14" hidden="1" outlineLevel="1" x14ac:dyDescent="0.25">
      <c r="A36" s="1" t="str">
        <f>IF(L36="","",MAX($A$1:$A35)+1)</f>
        <v/>
      </c>
      <c r="B36" s="38"/>
      <c r="C36" s="49"/>
      <c r="D36" s="35"/>
      <c r="E36" s="36"/>
      <c r="F36" s="36"/>
      <c r="G36" s="36"/>
      <c r="H36" s="36"/>
      <c r="I36" s="36"/>
      <c r="J36" s="37"/>
      <c r="K36" s="43"/>
      <c r="L36" s="38"/>
      <c r="M36" s="39"/>
      <c r="N36" s="26"/>
    </row>
    <row r="37" spans="1:14" collapsed="1" x14ac:dyDescent="0.25">
      <c r="A37" s="1">
        <f>IF(L37="","",MAX($A$1:$A36)+1)</f>
        <v>7</v>
      </c>
      <c r="B37" s="38" t="s">
        <v>232</v>
      </c>
      <c r="C37" s="46" t="s">
        <v>44</v>
      </c>
      <c r="D37" s="35" t="s">
        <v>45</v>
      </c>
      <c r="E37" s="36" t="s">
        <v>18</v>
      </c>
      <c r="F37" s="48">
        <f>PI()*2.6</f>
        <v>8.17</v>
      </c>
      <c r="G37" s="36" t="s">
        <v>19</v>
      </c>
      <c r="H37" s="36">
        <v>0.33</v>
      </c>
      <c r="I37" s="36" t="s">
        <v>18</v>
      </c>
      <c r="J37" s="47">
        <f>SUM(F37:H37)</f>
        <v>8.5</v>
      </c>
      <c r="K37" s="43" t="s">
        <v>5</v>
      </c>
      <c r="L37" s="43">
        <v>8.5</v>
      </c>
      <c r="M37" s="39"/>
      <c r="N37" s="26">
        <f>M37*L37</f>
        <v>0</v>
      </c>
    </row>
    <row r="38" spans="1:14" x14ac:dyDescent="0.25">
      <c r="A38" s="1">
        <f>IF(L38="","",MAX($A$1:$A37)+1)</f>
        <v>8</v>
      </c>
      <c r="B38" s="38" t="s">
        <v>232</v>
      </c>
      <c r="C38" s="46" t="s">
        <v>46</v>
      </c>
      <c r="D38" s="35" t="s">
        <v>47</v>
      </c>
      <c r="E38" s="36" t="s">
        <v>18</v>
      </c>
      <c r="F38" s="48" t="e">
        <f>#REF!</f>
        <v>#REF!</v>
      </c>
      <c r="G38" s="36"/>
      <c r="H38" s="36"/>
      <c r="I38" s="36"/>
      <c r="J38" s="47"/>
      <c r="K38" s="43" t="s">
        <v>5</v>
      </c>
      <c r="L38" s="43">
        <v>33</v>
      </c>
      <c r="M38" s="39"/>
      <c r="N38" s="26">
        <f>M38*L38</f>
        <v>0</v>
      </c>
    </row>
    <row r="39" spans="1:14" x14ac:dyDescent="0.25">
      <c r="A39" s="1">
        <f>IF(L39="","",MAX($A$1:$A38)+1)</f>
        <v>9</v>
      </c>
      <c r="B39" s="38" t="s">
        <v>232</v>
      </c>
      <c r="C39" s="46" t="s">
        <v>48</v>
      </c>
      <c r="D39" s="35" t="s">
        <v>49</v>
      </c>
      <c r="E39" s="36" t="s">
        <v>18</v>
      </c>
      <c r="F39" s="36">
        <f>7.85+7.1+2*(1.5+1.8+7.8)+1.6+1.8+1.5</f>
        <v>42.05</v>
      </c>
      <c r="G39" s="36" t="s">
        <v>19</v>
      </c>
      <c r="H39" s="36">
        <v>0.45</v>
      </c>
      <c r="I39" s="36" t="s">
        <v>18</v>
      </c>
      <c r="J39" s="37">
        <f>SUM(F39:H39)</f>
        <v>42.5</v>
      </c>
      <c r="K39" s="38" t="s">
        <v>5</v>
      </c>
      <c r="L39" s="43">
        <v>42.5</v>
      </c>
      <c r="M39" s="39"/>
      <c r="N39" s="26">
        <f t="shared" si="0"/>
        <v>0</v>
      </c>
    </row>
    <row r="40" spans="1:14" x14ac:dyDescent="0.25">
      <c r="A40" s="1">
        <f>IF(L40="","",MAX($A$1:$A39)+1)</f>
        <v>10</v>
      </c>
      <c r="B40" s="38" t="s">
        <v>232</v>
      </c>
      <c r="C40" s="46" t="s">
        <v>50</v>
      </c>
      <c r="D40" s="35" t="s">
        <v>51</v>
      </c>
      <c r="E40" s="36" t="s">
        <v>18</v>
      </c>
      <c r="F40" s="48">
        <f>PI()*9.1</f>
        <v>28.59</v>
      </c>
      <c r="G40" s="36" t="s">
        <v>19</v>
      </c>
      <c r="H40" s="36">
        <v>0.41</v>
      </c>
      <c r="I40" s="36" t="s">
        <v>18</v>
      </c>
      <c r="J40" s="47">
        <f>SUM(F40:H40)</f>
        <v>29</v>
      </c>
      <c r="K40" s="38" t="s">
        <v>5</v>
      </c>
      <c r="L40" s="43">
        <v>29</v>
      </c>
      <c r="M40" s="39"/>
      <c r="N40" s="26">
        <f t="shared" si="0"/>
        <v>0</v>
      </c>
    </row>
    <row r="41" spans="1:14" x14ac:dyDescent="0.25">
      <c r="A41" s="1">
        <f>IF(L41="","",MAX($A$1:$A40)+1)</f>
        <v>11</v>
      </c>
      <c r="B41" s="38" t="s">
        <v>232</v>
      </c>
      <c r="C41" s="46" t="s">
        <v>54</v>
      </c>
      <c r="D41" s="35" t="s">
        <v>53</v>
      </c>
      <c r="E41" s="36"/>
      <c r="F41" s="36"/>
      <c r="G41" s="36"/>
      <c r="H41" s="36"/>
      <c r="I41" s="36"/>
      <c r="J41" s="37"/>
      <c r="K41" s="38" t="s">
        <v>1</v>
      </c>
      <c r="L41" s="43">
        <v>4</v>
      </c>
      <c r="M41" s="39"/>
      <c r="N41" s="26">
        <f t="shared" si="0"/>
        <v>0</v>
      </c>
    </row>
    <row r="42" spans="1:14" x14ac:dyDescent="0.25">
      <c r="A42" s="1">
        <f>IF(L42="","",MAX($A$1:$A41)+1)</f>
        <v>12</v>
      </c>
      <c r="B42" s="38" t="s">
        <v>232</v>
      </c>
      <c r="C42" s="46" t="s">
        <v>55</v>
      </c>
      <c r="D42" s="35" t="s">
        <v>56</v>
      </c>
      <c r="E42" s="36" t="s">
        <v>18</v>
      </c>
      <c r="F42" s="48">
        <f>F44+F45+8*((1.1+0.3)/2)*5.3</f>
        <v>95.97</v>
      </c>
      <c r="G42" s="36" t="s">
        <v>19</v>
      </c>
      <c r="H42" s="36">
        <v>1.03</v>
      </c>
      <c r="I42" s="36" t="s">
        <v>18</v>
      </c>
      <c r="J42" s="47">
        <f>SUM(F42:H42)</f>
        <v>97</v>
      </c>
      <c r="K42" s="38" t="s">
        <v>7</v>
      </c>
      <c r="L42" s="43">
        <v>97</v>
      </c>
      <c r="M42" s="39"/>
      <c r="N42" s="26">
        <f t="shared" si="0"/>
        <v>0</v>
      </c>
    </row>
    <row r="43" spans="1:14" x14ac:dyDescent="0.25">
      <c r="A43" s="1">
        <f>IF(L43="","",MAX($A$1:$A42)+1)</f>
        <v>13</v>
      </c>
      <c r="B43" s="38" t="s">
        <v>232</v>
      </c>
      <c r="C43" s="46" t="s">
        <v>57</v>
      </c>
      <c r="D43" s="35"/>
      <c r="E43" s="36"/>
      <c r="F43" s="36"/>
      <c r="G43" s="36"/>
      <c r="H43" s="36"/>
      <c r="I43" s="36"/>
      <c r="J43" s="37"/>
      <c r="K43" s="38" t="s">
        <v>7</v>
      </c>
      <c r="L43" s="43">
        <v>67</v>
      </c>
      <c r="M43" s="39"/>
      <c r="N43" s="26">
        <f t="shared" si="0"/>
        <v>0</v>
      </c>
    </row>
    <row r="44" spans="1:14" x14ac:dyDescent="0.25">
      <c r="A44" s="1" t="str">
        <f>IF(L44="","",MAX($A$1:$A43)+1)</f>
        <v/>
      </c>
      <c r="B44" s="38"/>
      <c r="C44" s="46"/>
      <c r="D44" s="35" t="s">
        <v>58</v>
      </c>
      <c r="E44" s="36" t="s">
        <v>18</v>
      </c>
      <c r="F44" s="36">
        <f>8*(0.7+2)/2*5.3</f>
        <v>57.24</v>
      </c>
      <c r="G44" s="36"/>
      <c r="H44" s="36"/>
      <c r="I44" s="36"/>
      <c r="J44" s="37"/>
      <c r="K44" s="38"/>
      <c r="L44" s="43"/>
      <c r="M44" s="39"/>
      <c r="N44" s="26"/>
    </row>
    <row r="45" spans="1:14" x14ac:dyDescent="0.25">
      <c r="A45" s="1" t="str">
        <f>IF(L45="","",MAX($A$1:$A44)+1)</f>
        <v/>
      </c>
      <c r="B45" s="38"/>
      <c r="C45" s="46"/>
      <c r="D45" s="35" t="s">
        <v>59</v>
      </c>
      <c r="E45" s="36" t="s">
        <v>18</v>
      </c>
      <c r="F45" s="48">
        <f>2*PI()*1.2*1.2</f>
        <v>9.0500000000000007</v>
      </c>
      <c r="G45" s="36"/>
      <c r="H45" s="36"/>
      <c r="I45" s="36"/>
      <c r="J45" s="37"/>
      <c r="K45" s="38"/>
      <c r="L45" s="43"/>
      <c r="M45" s="39"/>
      <c r="N45" s="26"/>
    </row>
    <row r="46" spans="1:14" x14ac:dyDescent="0.25">
      <c r="A46" s="1" t="str">
        <f>IF(L46="","",MAX($A$1:$A45)+1)</f>
        <v/>
      </c>
      <c r="B46" s="38"/>
      <c r="C46" s="46"/>
      <c r="D46" s="35"/>
      <c r="E46" s="36"/>
      <c r="F46" s="48">
        <v>0.71</v>
      </c>
      <c r="G46" s="36" t="s">
        <v>18</v>
      </c>
      <c r="H46" s="48">
        <f>SUM(F44:F46)</f>
        <v>67</v>
      </c>
      <c r="I46" s="36"/>
      <c r="J46" s="37"/>
      <c r="K46" s="38"/>
      <c r="L46" s="43"/>
      <c r="M46" s="39"/>
      <c r="N46" s="26"/>
    </row>
    <row r="47" spans="1:14" ht="22.5" x14ac:dyDescent="0.25">
      <c r="A47" s="1">
        <f>IF(L47="","",MAX($A$1:$A46)+1)</f>
        <v>14</v>
      </c>
      <c r="B47" s="38" t="s">
        <v>232</v>
      </c>
      <c r="C47" s="46" t="s">
        <v>60</v>
      </c>
      <c r="D47" s="35"/>
      <c r="E47" s="36" t="s">
        <v>18</v>
      </c>
      <c r="F47" s="48">
        <f>2*PI()*0.82*1</f>
        <v>5.15</v>
      </c>
      <c r="G47" s="36" t="s">
        <v>19</v>
      </c>
      <c r="H47" s="48">
        <v>0.35</v>
      </c>
      <c r="I47" s="36" t="s">
        <v>18</v>
      </c>
      <c r="J47" s="47">
        <f>SUM(F47:H47)</f>
        <v>5.5</v>
      </c>
      <c r="K47" s="38" t="s">
        <v>7</v>
      </c>
      <c r="L47" s="43">
        <v>5.5</v>
      </c>
      <c r="M47" s="39"/>
      <c r="N47" s="26">
        <f t="shared" si="0"/>
        <v>0</v>
      </c>
    </row>
    <row r="48" spans="1:14" x14ac:dyDescent="0.25">
      <c r="A48" s="1">
        <f>IF(L48="","",MAX($A$1:$A47)+1)</f>
        <v>15</v>
      </c>
      <c r="B48" s="38" t="s">
        <v>232</v>
      </c>
      <c r="C48" s="46" t="s">
        <v>61</v>
      </c>
      <c r="D48" s="56"/>
      <c r="E48" s="57"/>
      <c r="F48" s="57"/>
      <c r="G48" s="57"/>
      <c r="H48" s="57"/>
      <c r="I48" s="57"/>
      <c r="J48" s="58"/>
      <c r="K48" s="53" t="s">
        <v>1</v>
      </c>
      <c r="L48" s="54">
        <v>8</v>
      </c>
      <c r="M48" s="55"/>
      <c r="N48" s="26">
        <f t="shared" si="0"/>
        <v>0</v>
      </c>
    </row>
    <row r="49" spans="1:16" x14ac:dyDescent="0.25">
      <c r="A49" s="1">
        <f>IF(L49="","",MAX($A$1:$A48)+1)</f>
        <v>16</v>
      </c>
      <c r="B49" s="38" t="s">
        <v>232</v>
      </c>
      <c r="C49" s="46" t="s">
        <v>62</v>
      </c>
      <c r="D49" s="51"/>
      <c r="E49" s="52"/>
      <c r="F49" s="52"/>
      <c r="G49" s="52"/>
      <c r="H49" s="52"/>
      <c r="I49" s="52"/>
      <c r="J49" s="53"/>
      <c r="K49" s="53" t="s">
        <v>4</v>
      </c>
      <c r="L49" s="54">
        <v>1</v>
      </c>
      <c r="M49" s="55"/>
      <c r="N49" s="26">
        <f t="shared" si="0"/>
        <v>0</v>
      </c>
    </row>
    <row r="50" spans="1:16" x14ac:dyDescent="0.25">
      <c r="A50" s="1" t="str">
        <f>IF(L50="","",MAX($A$1:$A49)+1)</f>
        <v/>
      </c>
      <c r="B50" s="58"/>
      <c r="C50" s="60"/>
      <c r="D50" s="56"/>
      <c r="E50" s="57"/>
      <c r="F50" s="57"/>
      <c r="G50" s="57"/>
      <c r="H50" s="57"/>
      <c r="I50" s="57"/>
      <c r="J50" s="58"/>
      <c r="K50" s="53"/>
      <c r="L50" s="54"/>
      <c r="M50" s="59"/>
      <c r="N50" s="26"/>
    </row>
    <row r="51" spans="1:16" ht="22.5" x14ac:dyDescent="0.25">
      <c r="A51" s="1">
        <f>IF(L51="","",MAX($A$1:$A50)+1)</f>
        <v>17</v>
      </c>
      <c r="B51" s="38" t="s">
        <v>233</v>
      </c>
      <c r="C51" s="46" t="s">
        <v>74</v>
      </c>
      <c r="D51" s="35" t="s">
        <v>75</v>
      </c>
      <c r="E51" s="36" t="s">
        <v>18</v>
      </c>
      <c r="F51" s="48">
        <f>$L$43+8*((1.1+0.3)/2)*5.3</f>
        <v>96.68</v>
      </c>
      <c r="G51" s="36" t="s">
        <v>19</v>
      </c>
      <c r="H51" s="36">
        <v>0.32</v>
      </c>
      <c r="I51" s="36" t="s">
        <v>18</v>
      </c>
      <c r="J51" s="47">
        <f>SUM(F51:H51)</f>
        <v>97</v>
      </c>
      <c r="K51" s="38" t="s">
        <v>7</v>
      </c>
      <c r="L51" s="43">
        <v>97</v>
      </c>
      <c r="M51" s="39"/>
      <c r="N51" s="26">
        <f t="shared" ref="N51:N53" si="1">M51*L51</f>
        <v>0</v>
      </c>
    </row>
    <row r="52" spans="1:16" ht="22.5" x14ac:dyDescent="0.25">
      <c r="A52" s="1">
        <f>IF(L52="","",MAX($A$1:$A51)+1)</f>
        <v>18</v>
      </c>
      <c r="B52" s="38" t="s">
        <v>236</v>
      </c>
      <c r="C52" s="46" t="s">
        <v>76</v>
      </c>
      <c r="D52" s="35" t="s">
        <v>77</v>
      </c>
      <c r="E52" s="48" t="s">
        <v>18</v>
      </c>
      <c r="F52" s="48">
        <f>$H$46</f>
        <v>67</v>
      </c>
      <c r="G52" s="36"/>
      <c r="H52" s="36"/>
      <c r="I52" s="36"/>
      <c r="J52" s="37"/>
      <c r="K52" s="38" t="s">
        <v>7</v>
      </c>
      <c r="L52" s="43">
        <v>67</v>
      </c>
      <c r="M52" s="39"/>
      <c r="N52" s="26">
        <f t="shared" si="1"/>
        <v>0</v>
      </c>
    </row>
    <row r="53" spans="1:16" x14ac:dyDescent="0.25">
      <c r="A53" s="1">
        <f>IF(L53="","",MAX($A$1:$A52)+1)</f>
        <v>19</v>
      </c>
      <c r="B53" s="38" t="s">
        <v>236</v>
      </c>
      <c r="C53" s="46" t="s">
        <v>82</v>
      </c>
      <c r="D53" s="35"/>
      <c r="E53" s="36"/>
      <c r="F53" s="36"/>
      <c r="G53" s="36"/>
      <c r="H53" s="36"/>
      <c r="I53" s="36"/>
      <c r="J53" s="37"/>
      <c r="K53" s="38" t="s">
        <v>1</v>
      </c>
      <c r="L53" s="38">
        <v>4</v>
      </c>
      <c r="M53" s="39"/>
      <c r="N53" s="26">
        <f t="shared" si="1"/>
        <v>0</v>
      </c>
    </row>
    <row r="54" spans="1:16" x14ac:dyDescent="0.25">
      <c r="A54" s="1" t="str">
        <f>IF(L54="","",MAX($A$1:$A50)+1)</f>
        <v/>
      </c>
      <c r="B54" s="58"/>
      <c r="C54" s="60"/>
      <c r="D54" s="56"/>
      <c r="E54" s="57"/>
      <c r="F54" s="57"/>
      <c r="G54" s="57"/>
      <c r="H54" s="57"/>
      <c r="I54" s="57"/>
      <c r="J54" s="58"/>
      <c r="K54" s="53"/>
      <c r="L54" s="54"/>
      <c r="M54" s="59"/>
      <c r="N54" s="26"/>
    </row>
    <row r="55" spans="1:16" x14ac:dyDescent="0.25">
      <c r="A55" s="1">
        <f>IF(L55="","",MAX($A$1:$A54)+1)</f>
        <v>20</v>
      </c>
      <c r="B55" s="38" t="s">
        <v>241</v>
      </c>
      <c r="C55" s="46" t="s">
        <v>63</v>
      </c>
      <c r="D55" s="35" t="s">
        <v>64</v>
      </c>
      <c r="E55" s="36" t="s">
        <v>18</v>
      </c>
      <c r="F55" s="48">
        <f>$L$21</f>
        <v>198</v>
      </c>
      <c r="G55" s="36"/>
      <c r="H55" s="36"/>
      <c r="I55" s="36"/>
      <c r="J55" s="37"/>
      <c r="K55" s="38" t="s">
        <v>7</v>
      </c>
      <c r="L55" s="43">
        <v>198</v>
      </c>
      <c r="M55" s="61"/>
      <c r="N55" s="26">
        <f t="shared" si="0"/>
        <v>0</v>
      </c>
      <c r="P55" s="31">
        <f>(16*600/F25)</f>
        <v>1369.47</v>
      </c>
    </row>
    <row r="56" spans="1:16" x14ac:dyDescent="0.25">
      <c r="A56" s="1">
        <f>IF(L56="","",MAX($A$1:$A55)+1)</f>
        <v>21</v>
      </c>
      <c r="B56" s="38" t="s">
        <v>241</v>
      </c>
      <c r="C56" s="46" t="s">
        <v>67</v>
      </c>
      <c r="D56" s="17"/>
      <c r="E56" s="14"/>
      <c r="F56" s="14"/>
      <c r="G56" s="14"/>
      <c r="H56" s="14"/>
      <c r="I56" s="14"/>
      <c r="J56" s="14"/>
      <c r="K56" s="38" t="s">
        <v>7</v>
      </c>
      <c r="L56" s="43">
        <v>201</v>
      </c>
      <c r="M56" s="39"/>
      <c r="N56" s="26">
        <f t="shared" ref="N56" si="2">M56*L56</f>
        <v>0</v>
      </c>
    </row>
    <row r="57" spans="1:16" ht="22.5" hidden="1" outlineLevel="1" x14ac:dyDescent="0.25">
      <c r="A57" s="1" t="str">
        <f>IF(L57="","",MAX($A$1:$A56)+1)</f>
        <v/>
      </c>
      <c r="B57" s="38"/>
      <c r="C57" s="46"/>
      <c r="D57" s="50" t="s">
        <v>68</v>
      </c>
      <c r="E57" s="36" t="s">
        <v>18</v>
      </c>
      <c r="F57" s="48">
        <f>$J$35+$J$40*0.1</f>
        <v>200.9</v>
      </c>
      <c r="G57" s="36" t="s">
        <v>19</v>
      </c>
      <c r="H57" s="36">
        <v>0.1</v>
      </c>
      <c r="I57" s="36" t="s">
        <v>18</v>
      </c>
      <c r="J57" s="47">
        <f>SUM(F57:H57)</f>
        <v>201</v>
      </c>
      <c r="K57" s="38"/>
      <c r="L57" s="43"/>
      <c r="M57" s="39"/>
      <c r="N57" s="26"/>
    </row>
    <row r="58" spans="1:16" collapsed="1" x14ac:dyDescent="0.25">
      <c r="A58" s="1">
        <f>IF(L58="","",MAX($A$1:$A57)+1)</f>
        <v>22</v>
      </c>
      <c r="B58" s="38" t="s">
        <v>241</v>
      </c>
      <c r="C58" s="46" t="s">
        <v>73</v>
      </c>
      <c r="D58" s="35" t="s">
        <v>53</v>
      </c>
      <c r="E58" s="36"/>
      <c r="F58" s="36"/>
      <c r="G58" s="36"/>
      <c r="H58" s="36"/>
      <c r="I58" s="36"/>
      <c r="J58" s="37"/>
      <c r="K58" s="38" t="s">
        <v>1</v>
      </c>
      <c r="L58" s="43">
        <v>4</v>
      </c>
      <c r="M58" s="39"/>
      <c r="N58" s="26">
        <f t="shared" ref="N58:N62" si="3">M58*L58</f>
        <v>0</v>
      </c>
    </row>
    <row r="59" spans="1:16" x14ac:dyDescent="0.25">
      <c r="A59" s="1">
        <f>IF(L59="","",MAX($A$1:$A58)+1)</f>
        <v>23</v>
      </c>
      <c r="B59" s="38" t="s">
        <v>254</v>
      </c>
      <c r="C59" s="46" t="s">
        <v>65</v>
      </c>
      <c r="D59" s="35"/>
      <c r="E59" s="36" t="s">
        <v>18</v>
      </c>
      <c r="F59" s="36">
        <f>$F$18</f>
        <v>46.64</v>
      </c>
      <c r="G59" s="36" t="s">
        <v>19</v>
      </c>
      <c r="H59" s="36">
        <v>0.36</v>
      </c>
      <c r="I59" s="36" t="s">
        <v>18</v>
      </c>
      <c r="J59" s="47">
        <f>SUM(F59:H59)</f>
        <v>47</v>
      </c>
      <c r="K59" s="38" t="s">
        <v>7</v>
      </c>
      <c r="L59" s="43">
        <v>47</v>
      </c>
      <c r="M59" s="39"/>
      <c r="N59" s="26">
        <f t="shared" si="3"/>
        <v>0</v>
      </c>
    </row>
    <row r="60" spans="1:16" ht="22.5" x14ac:dyDescent="0.25">
      <c r="A60" s="1">
        <f>IF(L60="","",MAX($A$1:$A59)+1)</f>
        <v>24</v>
      </c>
      <c r="B60" s="38" t="s">
        <v>254</v>
      </c>
      <c r="C60" s="128" t="s">
        <v>255</v>
      </c>
      <c r="D60" s="35" t="s">
        <v>78</v>
      </c>
      <c r="E60" s="36" t="s">
        <v>18</v>
      </c>
      <c r="F60" s="36">
        <f>PI()*(8.2+2)</f>
        <v>32.0442450666159</v>
      </c>
      <c r="G60" s="36" t="s">
        <v>19</v>
      </c>
      <c r="H60" s="36">
        <v>0.96</v>
      </c>
      <c r="I60" s="36" t="s">
        <v>18</v>
      </c>
      <c r="J60" s="47">
        <f>SUM(F60:H60)</f>
        <v>33</v>
      </c>
      <c r="K60" s="38" t="s">
        <v>7</v>
      </c>
      <c r="L60" s="43">
        <v>5.5</v>
      </c>
      <c r="M60" s="39"/>
      <c r="N60" s="26">
        <f t="shared" ref="N60" si="4">M60*L60</f>
        <v>0</v>
      </c>
    </row>
    <row r="61" spans="1:16" x14ac:dyDescent="0.25">
      <c r="A61" s="1">
        <f>IF(L61="","",MAX($A$1:$A60)+1)</f>
        <v>25</v>
      </c>
      <c r="B61" s="38" t="s">
        <v>254</v>
      </c>
      <c r="C61" s="90" t="s">
        <v>282</v>
      </c>
      <c r="D61" s="35" t="s">
        <v>78</v>
      </c>
      <c r="E61" s="36" t="s">
        <v>18</v>
      </c>
      <c r="F61" s="36">
        <f>PI()*(8.2+2)</f>
        <v>32.0442450666159</v>
      </c>
      <c r="G61" s="36" t="s">
        <v>19</v>
      </c>
      <c r="H61" s="36">
        <v>0.96</v>
      </c>
      <c r="I61" s="36" t="s">
        <v>18</v>
      </c>
      <c r="J61" s="47">
        <f>SUM(F61:H61)</f>
        <v>33</v>
      </c>
      <c r="K61" s="38" t="s">
        <v>5</v>
      </c>
      <c r="L61" s="43">
        <v>33</v>
      </c>
      <c r="M61" s="39"/>
      <c r="N61" s="26">
        <f t="shared" si="3"/>
        <v>0</v>
      </c>
    </row>
    <row r="62" spans="1:16" x14ac:dyDescent="0.25">
      <c r="A62" s="1">
        <f>IF(L62="","",MAX($A$1:$A61)+1)</f>
        <v>26</v>
      </c>
      <c r="B62" s="38" t="s">
        <v>254</v>
      </c>
      <c r="C62" s="90" t="s">
        <v>281</v>
      </c>
      <c r="D62" s="35" t="s">
        <v>79</v>
      </c>
      <c r="E62" s="48" t="s">
        <v>18</v>
      </c>
      <c r="F62" s="48">
        <f>PI()*8.2+0.24</f>
        <v>26</v>
      </c>
      <c r="G62" s="36"/>
      <c r="H62" s="36"/>
      <c r="I62" s="36"/>
      <c r="J62" s="37"/>
      <c r="K62" s="38" t="s">
        <v>5</v>
      </c>
      <c r="L62" s="43">
        <v>26</v>
      </c>
      <c r="M62" s="39"/>
      <c r="N62" s="26">
        <f t="shared" si="3"/>
        <v>0</v>
      </c>
    </row>
    <row r="63" spans="1:16" x14ac:dyDescent="0.25">
      <c r="A63" s="1">
        <f>IF(L63="","",MAX($A$1:$A62)+1)</f>
        <v>27</v>
      </c>
      <c r="B63" s="38" t="s">
        <v>254</v>
      </c>
      <c r="C63" s="90" t="s">
        <v>280</v>
      </c>
      <c r="D63" s="35"/>
      <c r="E63" s="36"/>
      <c r="F63" s="36"/>
      <c r="G63" s="36"/>
      <c r="H63" s="36"/>
      <c r="I63" s="36"/>
      <c r="J63" s="37"/>
      <c r="K63" s="38" t="s">
        <v>5</v>
      </c>
      <c r="L63" s="43">
        <v>85</v>
      </c>
      <c r="M63" s="39"/>
      <c r="N63" s="26">
        <f>M63*L63</f>
        <v>0</v>
      </c>
    </row>
    <row r="64" spans="1:16" x14ac:dyDescent="0.25">
      <c r="A64" s="1" t="str">
        <f>IF(L64="","",MAX($A$1:$A63)+1)</f>
        <v/>
      </c>
      <c r="B64" s="38"/>
      <c r="C64" s="63"/>
      <c r="D64" s="35" t="s">
        <v>80</v>
      </c>
      <c r="E64" s="36" t="s">
        <v>18</v>
      </c>
      <c r="F64" s="36">
        <f>2*8*5.3</f>
        <v>84.8</v>
      </c>
      <c r="G64" s="36" t="s">
        <v>19</v>
      </c>
      <c r="H64" s="36">
        <v>0.2</v>
      </c>
      <c r="I64" s="36" t="s">
        <v>18</v>
      </c>
      <c r="J64" s="47">
        <f>SUM(F64:H64)</f>
        <v>85</v>
      </c>
      <c r="K64" s="38"/>
      <c r="L64" s="43"/>
      <c r="M64" s="39"/>
      <c r="N64" s="26"/>
    </row>
    <row r="65" spans="1:14" x14ac:dyDescent="0.25">
      <c r="A65" s="1">
        <f>IF(L65="","",MAX($A$1:$A64)+1)</f>
        <v>28</v>
      </c>
      <c r="B65" s="38" t="s">
        <v>245</v>
      </c>
      <c r="C65" s="46" t="s">
        <v>69</v>
      </c>
      <c r="D65" s="35" t="s">
        <v>70</v>
      </c>
      <c r="E65" s="48" t="s">
        <v>18</v>
      </c>
      <c r="F65" s="48">
        <f>$J$37</f>
        <v>8.5</v>
      </c>
      <c r="G65" s="36"/>
      <c r="H65" s="36"/>
      <c r="I65" s="36"/>
      <c r="J65" s="47"/>
      <c r="K65" s="38" t="s">
        <v>5</v>
      </c>
      <c r="L65" s="43">
        <v>8.5</v>
      </c>
      <c r="M65" s="39"/>
      <c r="N65" s="26">
        <f t="shared" ref="N65" si="5">M65*L65</f>
        <v>0</v>
      </c>
    </row>
    <row r="66" spans="1:14" x14ac:dyDescent="0.25">
      <c r="A66" s="1">
        <f>IF(L66="","",MAX($A$1:$A65)+1)</f>
        <v>29</v>
      </c>
      <c r="B66" s="38" t="s">
        <v>246</v>
      </c>
      <c r="C66" s="46" t="s">
        <v>66</v>
      </c>
      <c r="D66" s="35"/>
      <c r="E66" s="36"/>
      <c r="F66" s="36"/>
      <c r="G66" s="36"/>
      <c r="H66" s="36"/>
      <c r="I66" s="36"/>
      <c r="J66" s="37"/>
      <c r="K66" s="38" t="s">
        <v>5</v>
      </c>
      <c r="L66" s="43">
        <v>27.5</v>
      </c>
      <c r="M66" s="39"/>
      <c r="N66" s="26">
        <f t="shared" si="0"/>
        <v>0</v>
      </c>
    </row>
    <row r="67" spans="1:14" x14ac:dyDescent="0.25">
      <c r="A67" s="1">
        <f>IF(L67="","",MAX($A$1:$A66)+1)</f>
        <v>30</v>
      </c>
      <c r="B67" s="38" t="s">
        <v>248</v>
      </c>
      <c r="C67" s="46" t="s">
        <v>71</v>
      </c>
      <c r="D67" s="35"/>
      <c r="E67" s="36"/>
      <c r="F67" s="36"/>
      <c r="G67" s="36"/>
      <c r="H67" s="36"/>
      <c r="I67" s="36"/>
      <c r="J67" s="37"/>
      <c r="K67" s="38" t="s">
        <v>5</v>
      </c>
      <c r="L67" s="43">
        <v>42.5</v>
      </c>
      <c r="M67" s="39"/>
      <c r="N67" s="26">
        <f t="shared" si="0"/>
        <v>0</v>
      </c>
    </row>
    <row r="68" spans="1:14" x14ac:dyDescent="0.25">
      <c r="A68" s="1" t="str">
        <f>IF(L68="","",MAX($A$1:$A67)+1)</f>
        <v/>
      </c>
      <c r="B68" s="38"/>
      <c r="C68" s="63"/>
      <c r="D68" s="35" t="s">
        <v>80</v>
      </c>
      <c r="E68" s="36" t="s">
        <v>18</v>
      </c>
      <c r="F68" s="36">
        <f>2*8*5.3</f>
        <v>84.8</v>
      </c>
      <c r="G68" s="36" t="s">
        <v>19</v>
      </c>
      <c r="H68" s="36">
        <v>0.2</v>
      </c>
      <c r="I68" s="36" t="s">
        <v>18</v>
      </c>
      <c r="J68" s="47">
        <f>SUM(F68:H68)</f>
        <v>85</v>
      </c>
      <c r="K68" s="38"/>
      <c r="L68" s="43"/>
      <c r="M68" s="39"/>
      <c r="N68" s="26"/>
    </row>
    <row r="69" spans="1:14" x14ac:dyDescent="0.25">
      <c r="A69" s="1">
        <f>IF(L69="","",MAX($A$1:$A68)+1)</f>
        <v>31</v>
      </c>
      <c r="B69" s="38" t="s">
        <v>253</v>
      </c>
      <c r="C69" s="46" t="s">
        <v>223</v>
      </c>
      <c r="D69" s="35"/>
      <c r="E69" s="36" t="s">
        <v>18</v>
      </c>
      <c r="F69" s="48">
        <f>8*(0.4*1.2+PI()*0.2*0.2/2)</f>
        <v>4.34</v>
      </c>
      <c r="G69" s="36" t="s">
        <v>19</v>
      </c>
      <c r="H69" s="36">
        <v>0.16</v>
      </c>
      <c r="I69" s="36" t="s">
        <v>18</v>
      </c>
      <c r="J69" s="47">
        <f>SUM(F69:H69)</f>
        <v>4.5</v>
      </c>
      <c r="K69" s="38" t="s">
        <v>7</v>
      </c>
      <c r="L69" s="43">
        <v>4.5</v>
      </c>
      <c r="M69" s="39"/>
      <c r="N69" s="26">
        <f t="shared" si="0"/>
        <v>0</v>
      </c>
    </row>
    <row r="70" spans="1:14" x14ac:dyDescent="0.25">
      <c r="A70" s="1">
        <f>IF(L70="","",MAX($A$1:$A69)+1)</f>
        <v>32</v>
      </c>
      <c r="B70" s="38" t="s">
        <v>257</v>
      </c>
      <c r="C70" s="46" t="s">
        <v>81</v>
      </c>
      <c r="D70" s="35"/>
      <c r="E70" s="36"/>
      <c r="F70" s="36"/>
      <c r="G70" s="36"/>
      <c r="H70" s="36"/>
      <c r="I70" s="36"/>
      <c r="J70" s="37"/>
      <c r="K70" s="38" t="s">
        <v>4</v>
      </c>
      <c r="L70" s="38">
        <v>1</v>
      </c>
      <c r="M70" s="39"/>
      <c r="N70" s="26">
        <f t="shared" si="0"/>
        <v>0</v>
      </c>
    </row>
    <row r="71" spans="1:14" x14ac:dyDescent="0.25">
      <c r="A71" s="1" t="str">
        <f>IF(L71="","",MAX($A$1:$A70)+1)</f>
        <v/>
      </c>
      <c r="B71" s="38"/>
      <c r="C71" s="46"/>
      <c r="D71" s="35"/>
      <c r="E71" s="36"/>
      <c r="F71" s="36"/>
      <c r="G71" s="36"/>
      <c r="H71" s="36"/>
      <c r="I71" s="36"/>
      <c r="J71" s="37"/>
      <c r="K71" s="38"/>
      <c r="L71" s="38"/>
      <c r="M71" s="39"/>
      <c r="N71" s="26"/>
    </row>
    <row r="72" spans="1:14" x14ac:dyDescent="0.25">
      <c r="A72" s="1">
        <f>IF(L72="","",MAX($A$1:$A71)+1)</f>
        <v>33</v>
      </c>
      <c r="B72" s="38" t="s">
        <v>238</v>
      </c>
      <c r="C72" s="41" t="s">
        <v>274</v>
      </c>
      <c r="D72" s="35"/>
      <c r="E72" s="36"/>
      <c r="F72" s="36"/>
      <c r="G72" s="36"/>
      <c r="H72" s="36"/>
      <c r="I72" s="36"/>
      <c r="J72" s="37"/>
      <c r="K72" s="38" t="s">
        <v>4</v>
      </c>
      <c r="L72" s="38">
        <v>1</v>
      </c>
      <c r="M72" s="39"/>
      <c r="N72" s="26">
        <f t="shared" ref="N72" si="6">M72*L72</f>
        <v>0</v>
      </c>
    </row>
    <row r="73" spans="1:14" x14ac:dyDescent="0.25">
      <c r="A73" s="1" t="str">
        <f>IF(L73="","",MAX($A$1:$A72)+1)</f>
        <v/>
      </c>
      <c r="B73" s="38"/>
      <c r="C73" s="41"/>
      <c r="D73" s="35"/>
      <c r="E73" s="36"/>
      <c r="F73" s="36"/>
      <c r="G73" s="36"/>
      <c r="H73" s="36"/>
      <c r="I73" s="36"/>
      <c r="J73" s="37"/>
      <c r="K73" s="38"/>
      <c r="L73" s="38"/>
      <c r="M73" s="39"/>
      <c r="N73" s="26"/>
    </row>
    <row r="74" spans="1:14" x14ac:dyDescent="0.25">
      <c r="A74" s="1" t="str">
        <f>IF(L74="","",MAX($A$1:$A71)+1)</f>
        <v/>
      </c>
      <c r="B74" s="38"/>
      <c r="C74" s="46"/>
      <c r="D74" s="35"/>
      <c r="E74" s="36"/>
      <c r="F74" s="36"/>
      <c r="G74" s="36"/>
      <c r="H74" s="36"/>
      <c r="I74" s="36"/>
      <c r="J74" s="37"/>
      <c r="K74" s="38"/>
      <c r="L74" s="38"/>
      <c r="M74" s="39"/>
      <c r="N74" s="26"/>
    </row>
    <row r="75" spans="1:14" x14ac:dyDescent="0.25">
      <c r="A75" s="1" t="str">
        <f>IF(L75="","",MAX($A$1:$A74)+1)</f>
        <v/>
      </c>
      <c r="B75" s="38" t="s">
        <v>237</v>
      </c>
      <c r="C75" s="46" t="s">
        <v>83</v>
      </c>
      <c r="D75" s="35"/>
      <c r="E75" s="36"/>
      <c r="F75" s="36"/>
      <c r="G75" s="36"/>
      <c r="H75" s="36"/>
      <c r="I75" s="36"/>
      <c r="J75" s="37"/>
      <c r="K75" s="38"/>
      <c r="L75" s="38"/>
      <c r="M75" s="39"/>
      <c r="N75" s="26"/>
    </row>
    <row r="76" spans="1:14" x14ac:dyDescent="0.25">
      <c r="A76" s="1">
        <f>IF(L76="","",MAX($A$1:$A75)+1)</f>
        <v>34</v>
      </c>
      <c r="B76" s="38" t="s">
        <v>234</v>
      </c>
      <c r="C76" s="64" t="s">
        <v>84</v>
      </c>
      <c r="D76" s="35" t="s">
        <v>85</v>
      </c>
      <c r="E76" s="36" t="s">
        <v>18</v>
      </c>
      <c r="F76" s="36">
        <f>4*(4.5+1.6+7.6)</f>
        <v>54.8</v>
      </c>
      <c r="G76" s="36" t="s">
        <v>19</v>
      </c>
      <c r="H76" s="36">
        <v>0.2</v>
      </c>
      <c r="I76" s="36" t="s">
        <v>18</v>
      </c>
      <c r="J76" s="37">
        <f>SUM(F76:H76)</f>
        <v>55</v>
      </c>
      <c r="K76" s="38" t="s">
        <v>5</v>
      </c>
      <c r="L76" s="43">
        <v>55</v>
      </c>
      <c r="M76" s="39"/>
      <c r="N76" s="26">
        <f t="shared" ref="N76:N113" si="7">M76*L76</f>
        <v>0</v>
      </c>
    </row>
    <row r="77" spans="1:14" x14ac:dyDescent="0.25">
      <c r="A77" s="1">
        <f>IF(L77="","",MAX($A$1:$A76)+1)</f>
        <v>35</v>
      </c>
      <c r="B77" s="38" t="s">
        <v>234</v>
      </c>
      <c r="C77" s="64" t="s">
        <v>86</v>
      </c>
      <c r="D77" s="35" t="s">
        <v>87</v>
      </c>
      <c r="E77" s="36" t="s">
        <v>18</v>
      </c>
      <c r="F77" s="36">
        <f>4*4.2</f>
        <v>16.8</v>
      </c>
      <c r="G77" s="36" t="s">
        <v>19</v>
      </c>
      <c r="H77" s="36">
        <v>0.2</v>
      </c>
      <c r="I77" s="36" t="s">
        <v>18</v>
      </c>
      <c r="J77" s="37">
        <f>SUM(F77:H77)</f>
        <v>17</v>
      </c>
      <c r="K77" s="38" t="s">
        <v>5</v>
      </c>
      <c r="L77" s="43">
        <v>17</v>
      </c>
      <c r="M77" s="39"/>
      <c r="N77" s="26">
        <f t="shared" si="7"/>
        <v>0</v>
      </c>
    </row>
    <row r="78" spans="1:14" x14ac:dyDescent="0.25">
      <c r="A78" s="1">
        <f>IF(L78="","",MAX($A$1:$A77)+1)</f>
        <v>36</v>
      </c>
      <c r="B78" s="38" t="s">
        <v>234</v>
      </c>
      <c r="C78" s="46" t="s">
        <v>52</v>
      </c>
      <c r="D78" s="35" t="s">
        <v>53</v>
      </c>
      <c r="E78" s="36"/>
      <c r="F78" s="36"/>
      <c r="G78" s="36"/>
      <c r="H78" s="36"/>
      <c r="I78" s="36"/>
      <c r="J78" s="37"/>
      <c r="K78" s="38" t="s">
        <v>1</v>
      </c>
      <c r="L78" s="43">
        <v>4</v>
      </c>
      <c r="M78" s="39"/>
      <c r="N78" s="26">
        <f t="shared" si="7"/>
        <v>0</v>
      </c>
    </row>
    <row r="79" spans="1:14" x14ac:dyDescent="0.25">
      <c r="A79" s="1">
        <f>IF(L79="","",MAX($A$1:$A78)+1)</f>
        <v>37</v>
      </c>
      <c r="B79" s="38" t="s">
        <v>234</v>
      </c>
      <c r="C79" s="64" t="s">
        <v>116</v>
      </c>
      <c r="D79" s="35" t="s">
        <v>88</v>
      </c>
      <c r="E79" s="36" t="s">
        <v>18</v>
      </c>
      <c r="F79" s="36">
        <f>J76</f>
        <v>55</v>
      </c>
      <c r="G79" s="36"/>
      <c r="H79" s="36"/>
      <c r="I79" s="36"/>
      <c r="J79" s="37"/>
      <c r="K79" s="38" t="s">
        <v>5</v>
      </c>
      <c r="L79" s="43">
        <v>55</v>
      </c>
      <c r="M79" s="39"/>
      <c r="N79" s="26">
        <f t="shared" si="7"/>
        <v>0</v>
      </c>
    </row>
    <row r="80" spans="1:14" ht="22.5" x14ac:dyDescent="0.25">
      <c r="A80" s="1">
        <f>IF(L80="","",MAX($A$1:$A79)+1)</f>
        <v>38</v>
      </c>
      <c r="B80" s="38" t="s">
        <v>234</v>
      </c>
      <c r="C80" s="91" t="s">
        <v>279</v>
      </c>
      <c r="D80" s="35" t="s">
        <v>89</v>
      </c>
      <c r="E80" s="36" t="s">
        <v>18</v>
      </c>
      <c r="F80" s="36">
        <f>J77</f>
        <v>17</v>
      </c>
      <c r="G80" s="36"/>
      <c r="H80" s="36"/>
      <c r="I80" s="36"/>
      <c r="J80" s="37"/>
      <c r="K80" s="38" t="s">
        <v>5</v>
      </c>
      <c r="L80" s="43">
        <v>17</v>
      </c>
      <c r="M80" s="39"/>
      <c r="N80" s="26">
        <f t="shared" si="7"/>
        <v>0</v>
      </c>
    </row>
    <row r="81" spans="1:14" x14ac:dyDescent="0.25">
      <c r="A81" s="1">
        <f>IF(L81="","",MAX($A$1:$A80)+1)</f>
        <v>39</v>
      </c>
      <c r="B81" s="38" t="s">
        <v>234</v>
      </c>
      <c r="C81" s="46" t="s">
        <v>72</v>
      </c>
      <c r="D81" s="35"/>
      <c r="E81" s="36"/>
      <c r="F81" s="36"/>
      <c r="G81" s="36"/>
      <c r="H81" s="36"/>
      <c r="I81" s="36"/>
      <c r="J81" s="37"/>
      <c r="K81" s="38" t="s">
        <v>1</v>
      </c>
      <c r="L81" s="43">
        <v>4</v>
      </c>
      <c r="M81" s="39"/>
      <c r="N81" s="26">
        <f t="shared" si="7"/>
        <v>0</v>
      </c>
    </row>
    <row r="82" spans="1:14" x14ac:dyDescent="0.25">
      <c r="A82" s="1">
        <f>IF(L82="","",MAX($A$1:$A81)+1)</f>
        <v>40</v>
      </c>
      <c r="B82" s="38" t="s">
        <v>235</v>
      </c>
      <c r="C82" s="46" t="s">
        <v>272</v>
      </c>
      <c r="D82" s="35"/>
      <c r="E82" s="36"/>
      <c r="F82" s="36"/>
      <c r="G82" s="36"/>
      <c r="H82" s="36"/>
      <c r="I82" s="36"/>
      <c r="J82" s="37"/>
      <c r="K82" s="38" t="s">
        <v>5</v>
      </c>
      <c r="L82" s="43">
        <v>10</v>
      </c>
      <c r="M82" s="39"/>
      <c r="N82" s="26">
        <f>M82*L82</f>
        <v>0</v>
      </c>
    </row>
    <row r="83" spans="1:14" x14ac:dyDescent="0.25">
      <c r="A83" s="1" t="str">
        <f>IF(L83="","",MAX($A$1:$A80)+1)</f>
        <v/>
      </c>
      <c r="B83" s="38"/>
      <c r="C83" s="65"/>
      <c r="D83" s="35"/>
      <c r="E83" s="36"/>
      <c r="F83" s="36"/>
      <c r="G83" s="36"/>
      <c r="H83" s="36"/>
      <c r="I83" s="36"/>
      <c r="J83" s="37"/>
      <c r="K83" s="38"/>
      <c r="L83" s="38"/>
      <c r="M83" s="39"/>
      <c r="N83" s="26"/>
    </row>
    <row r="84" spans="1:14" x14ac:dyDescent="0.25">
      <c r="A84" s="1" t="str">
        <f>IF(L84="","",MAX($A$1:$A83)+1)</f>
        <v/>
      </c>
      <c r="B84" s="38"/>
      <c r="C84" s="67"/>
      <c r="D84" s="35"/>
      <c r="E84" s="36"/>
      <c r="F84" s="36"/>
      <c r="G84" s="36"/>
      <c r="H84" s="36"/>
      <c r="I84" s="36"/>
      <c r="J84" s="37"/>
      <c r="K84" s="38"/>
      <c r="L84" s="38"/>
      <c r="M84" s="39"/>
      <c r="N84" s="26"/>
    </row>
    <row r="85" spans="1:14" x14ac:dyDescent="0.25">
      <c r="A85" s="1" t="str">
        <f>IF(L85="","",MAX($A$1:$A84)+1)</f>
        <v/>
      </c>
      <c r="B85" s="38" t="s">
        <v>231</v>
      </c>
      <c r="C85" s="40" t="s">
        <v>20</v>
      </c>
      <c r="D85" s="35"/>
      <c r="E85" s="36"/>
      <c r="F85" s="36"/>
      <c r="G85" s="36"/>
      <c r="H85" s="36"/>
      <c r="I85" s="36"/>
      <c r="J85" s="37"/>
      <c r="K85" s="38"/>
      <c r="L85" s="38"/>
      <c r="M85" s="39"/>
      <c r="N85" s="26"/>
    </row>
    <row r="86" spans="1:14" x14ac:dyDescent="0.25">
      <c r="A86" s="1" t="str">
        <f>IF(L86="","",MAX($A$1:$A85)+1)</f>
        <v/>
      </c>
      <c r="B86" s="38"/>
      <c r="C86" s="40"/>
      <c r="D86" s="35"/>
      <c r="E86" s="36"/>
      <c r="F86" s="36"/>
      <c r="G86" s="36"/>
      <c r="H86" s="36"/>
      <c r="I86" s="36"/>
      <c r="J86" s="37"/>
      <c r="K86" s="38"/>
      <c r="L86" s="38"/>
      <c r="M86" s="39"/>
      <c r="N86" s="26"/>
    </row>
    <row r="87" spans="1:14" x14ac:dyDescent="0.25">
      <c r="A87" s="1" t="str">
        <f>IF(L87="","",MAX($A$1:$A86)+1)</f>
        <v/>
      </c>
      <c r="B87" s="38"/>
      <c r="C87" s="45" t="s">
        <v>27</v>
      </c>
      <c r="D87" s="35"/>
      <c r="E87" s="36"/>
      <c r="F87" s="36"/>
      <c r="G87" s="36"/>
      <c r="H87" s="36"/>
      <c r="I87" s="36"/>
      <c r="J87" s="37"/>
      <c r="K87" s="38"/>
      <c r="L87" s="38"/>
      <c r="M87" s="39"/>
      <c r="N87" s="26"/>
    </row>
    <row r="88" spans="1:14" x14ac:dyDescent="0.25">
      <c r="A88" s="1">
        <f>IF(L88="","",MAX($A$1:$A87)+1)</f>
        <v>41</v>
      </c>
      <c r="B88" s="38" t="s">
        <v>231</v>
      </c>
      <c r="C88" s="98" t="s">
        <v>290</v>
      </c>
      <c r="D88" s="35"/>
      <c r="E88" s="36"/>
      <c r="F88" s="36"/>
      <c r="G88" s="36"/>
      <c r="H88" s="36"/>
      <c r="I88" s="36"/>
      <c r="J88" s="37"/>
      <c r="K88" s="38" t="s">
        <v>4</v>
      </c>
      <c r="L88" s="38">
        <v>1</v>
      </c>
      <c r="M88" s="39"/>
      <c r="N88" s="26">
        <f t="shared" si="7"/>
        <v>0</v>
      </c>
    </row>
    <row r="89" spans="1:14" x14ac:dyDescent="0.25">
      <c r="A89" s="1">
        <f>IF(L89="","",MAX($A$1:$A88)+1)</f>
        <v>42</v>
      </c>
      <c r="B89" s="38" t="s">
        <v>232</v>
      </c>
      <c r="C89" s="46" t="s">
        <v>91</v>
      </c>
      <c r="D89" s="35"/>
      <c r="E89" s="36" t="s">
        <v>18</v>
      </c>
      <c r="F89" s="36">
        <f>23.2*1.55</f>
        <v>35.96</v>
      </c>
      <c r="G89" s="36" t="s">
        <v>19</v>
      </c>
      <c r="H89" s="36">
        <v>0.04</v>
      </c>
      <c r="I89" s="36" t="s">
        <v>18</v>
      </c>
      <c r="J89" s="47">
        <f>SUM(F89+H89)</f>
        <v>36</v>
      </c>
      <c r="K89" s="38" t="s">
        <v>7</v>
      </c>
      <c r="L89" s="43">
        <v>36</v>
      </c>
      <c r="M89" s="39"/>
      <c r="N89" s="26">
        <f t="shared" si="7"/>
        <v>0</v>
      </c>
    </row>
    <row r="90" spans="1:14" ht="22.5" x14ac:dyDescent="0.25">
      <c r="A90" s="1">
        <f>IF(L90="","",MAX($A$1:$A89)+1)</f>
        <v>43</v>
      </c>
      <c r="B90" s="38" t="s">
        <v>232</v>
      </c>
      <c r="C90" s="46" t="s">
        <v>242</v>
      </c>
      <c r="D90" s="35"/>
      <c r="E90" s="36" t="s">
        <v>18</v>
      </c>
      <c r="F90" s="36">
        <f>2*(0.4+0.25)*23.3</f>
        <v>30.29</v>
      </c>
      <c r="G90" s="36" t="s">
        <v>19</v>
      </c>
      <c r="H90" s="36">
        <v>0.71</v>
      </c>
      <c r="I90" s="36" t="s">
        <v>18</v>
      </c>
      <c r="J90" s="47">
        <f>SUM(F90:H90)</f>
        <v>31</v>
      </c>
      <c r="K90" s="38" t="s">
        <v>7</v>
      </c>
      <c r="L90" s="43">
        <v>31</v>
      </c>
      <c r="M90" s="39"/>
      <c r="N90" s="26">
        <f t="shared" si="7"/>
        <v>0</v>
      </c>
    </row>
    <row r="91" spans="1:14" x14ac:dyDescent="0.25">
      <c r="A91" s="1">
        <f>IF(L91="","",MAX($A$1:$A90)+1)</f>
        <v>44</v>
      </c>
      <c r="B91" s="38" t="s">
        <v>232</v>
      </c>
      <c r="C91" s="46" t="s">
        <v>93</v>
      </c>
      <c r="D91" s="35"/>
      <c r="E91" s="36" t="s">
        <v>18</v>
      </c>
      <c r="F91" s="36">
        <f>(0.35+0.4)*22.4+F92+F89</f>
        <v>171.44</v>
      </c>
      <c r="G91" s="36" t="s">
        <v>19</v>
      </c>
      <c r="H91" s="36">
        <v>0.56000000000000005</v>
      </c>
      <c r="I91" s="36" t="s">
        <v>18</v>
      </c>
      <c r="J91" s="47">
        <f>SUM(F91:H91)</f>
        <v>172</v>
      </c>
      <c r="K91" s="38" t="s">
        <v>7</v>
      </c>
      <c r="L91" s="43">
        <v>172</v>
      </c>
      <c r="M91" s="39"/>
      <c r="N91" s="26">
        <f t="shared" si="7"/>
        <v>0</v>
      </c>
    </row>
    <row r="92" spans="1:14" x14ac:dyDescent="0.25">
      <c r="A92" s="1">
        <f>IF(L92="","",MAX($A$1:$A91)+1)</f>
        <v>45</v>
      </c>
      <c r="B92" s="38" t="s">
        <v>232</v>
      </c>
      <c r="C92" s="46" t="s">
        <v>94</v>
      </c>
      <c r="D92" s="35"/>
      <c r="E92" s="36" t="s">
        <v>18</v>
      </c>
      <c r="F92" s="36">
        <f>7.5*22.4+0.8*4.3-(1.55*23.2+22.4*(0.35+0.4))</f>
        <v>118.68</v>
      </c>
      <c r="G92" s="36" t="s">
        <v>19</v>
      </c>
      <c r="H92" s="36">
        <v>0.32</v>
      </c>
      <c r="I92" s="36" t="s">
        <v>18</v>
      </c>
      <c r="J92" s="47">
        <f>SUM(F92:H92)</f>
        <v>119</v>
      </c>
      <c r="K92" s="38" t="s">
        <v>7</v>
      </c>
      <c r="L92" s="43">
        <v>119</v>
      </c>
      <c r="M92" s="39"/>
      <c r="N92" s="26">
        <f t="shared" si="7"/>
        <v>0</v>
      </c>
    </row>
    <row r="93" spans="1:14" x14ac:dyDescent="0.25">
      <c r="A93" s="1">
        <f>IF(L93="","",MAX($A$1:$A92)+1)</f>
        <v>46</v>
      </c>
      <c r="B93" s="38" t="s">
        <v>232</v>
      </c>
      <c r="C93" s="46" t="s">
        <v>95</v>
      </c>
      <c r="D93" s="35"/>
      <c r="E93" s="36" t="s">
        <v>18</v>
      </c>
      <c r="F93" s="36">
        <f>2*22.4</f>
        <v>44.8</v>
      </c>
      <c r="G93" s="36" t="s">
        <v>19</v>
      </c>
      <c r="H93" s="36">
        <v>0.2</v>
      </c>
      <c r="I93" s="36" t="s">
        <v>18</v>
      </c>
      <c r="J93" s="47">
        <f>SUM(F93:H93)</f>
        <v>45</v>
      </c>
      <c r="K93" s="38" t="s">
        <v>5</v>
      </c>
      <c r="L93" s="43">
        <v>45</v>
      </c>
      <c r="M93" s="39"/>
      <c r="N93" s="26">
        <f t="shared" si="7"/>
        <v>0</v>
      </c>
    </row>
    <row r="94" spans="1:14" x14ac:dyDescent="0.25">
      <c r="A94" s="1" t="str">
        <f>IF(L94="","",MAX($A$1:$A93)+1)</f>
        <v/>
      </c>
      <c r="B94" s="38"/>
      <c r="C94" s="41"/>
      <c r="D94" s="35"/>
      <c r="E94" s="36"/>
      <c r="F94" s="36"/>
      <c r="G94" s="36"/>
      <c r="H94" s="36"/>
      <c r="I94" s="36"/>
      <c r="J94" s="37"/>
      <c r="K94" s="38"/>
      <c r="L94" s="38"/>
      <c r="M94" s="39"/>
      <c r="N94" s="26"/>
    </row>
    <row r="95" spans="1:14" x14ac:dyDescent="0.25">
      <c r="A95" s="1">
        <f>IF(L95="","",MAX($A$1:$A94)+1)</f>
        <v>47</v>
      </c>
      <c r="B95" s="38" t="s">
        <v>241</v>
      </c>
      <c r="C95" s="46" t="s">
        <v>96</v>
      </c>
      <c r="D95" s="35" t="s">
        <v>97</v>
      </c>
      <c r="E95" s="36" t="s">
        <v>18</v>
      </c>
      <c r="F95" s="48">
        <f>L89</f>
        <v>36</v>
      </c>
      <c r="G95" s="36"/>
      <c r="H95" s="36"/>
      <c r="I95" s="36"/>
      <c r="J95" s="37"/>
      <c r="K95" s="38" t="s">
        <v>7</v>
      </c>
      <c r="L95" s="43">
        <v>36</v>
      </c>
      <c r="M95" s="39"/>
      <c r="N95" s="26">
        <f t="shared" si="7"/>
        <v>0</v>
      </c>
    </row>
    <row r="96" spans="1:14" x14ac:dyDescent="0.25">
      <c r="A96" s="1">
        <f>IF(L96="","",MAX($A$1:$A95)+1)</f>
        <v>48</v>
      </c>
      <c r="B96" s="38" t="s">
        <v>241</v>
      </c>
      <c r="C96" s="46" t="s">
        <v>102</v>
      </c>
      <c r="D96" s="35" t="s">
        <v>103</v>
      </c>
      <c r="E96" s="36" t="s">
        <v>18</v>
      </c>
      <c r="F96" s="36">
        <f>2*(22.1+2*3.2+0.8)</f>
        <v>58.6</v>
      </c>
      <c r="G96" s="36" t="s">
        <v>19</v>
      </c>
      <c r="H96" s="36">
        <v>0.4</v>
      </c>
      <c r="I96" s="36" t="s">
        <v>18</v>
      </c>
      <c r="J96" s="37">
        <f>SUM(F96:H96)</f>
        <v>59</v>
      </c>
      <c r="K96" s="38" t="s">
        <v>5</v>
      </c>
      <c r="L96" s="43">
        <v>59</v>
      </c>
      <c r="M96" s="39"/>
      <c r="N96" s="26">
        <f t="shared" si="7"/>
        <v>0</v>
      </c>
    </row>
    <row r="97" spans="1:14" x14ac:dyDescent="0.25">
      <c r="A97" s="1">
        <f>IF(L97="","",MAX($A$1:$A96)+1)</f>
        <v>49</v>
      </c>
      <c r="B97" s="38" t="s">
        <v>241</v>
      </c>
      <c r="C97" s="46" t="s">
        <v>105</v>
      </c>
      <c r="D97" s="35"/>
      <c r="E97" s="36" t="s">
        <v>18</v>
      </c>
      <c r="F97" s="36">
        <f>2*0.4*23.2</f>
        <v>18.559999999999999</v>
      </c>
      <c r="G97" s="36" t="s">
        <v>19</v>
      </c>
      <c r="H97" s="36">
        <v>0.44</v>
      </c>
      <c r="I97" s="36" t="s">
        <v>18</v>
      </c>
      <c r="J97" s="37">
        <f>SUM(F97:H97)</f>
        <v>19</v>
      </c>
      <c r="K97" s="38" t="s">
        <v>7</v>
      </c>
      <c r="L97" s="43">
        <v>19</v>
      </c>
      <c r="M97" s="39"/>
      <c r="N97" s="26">
        <f t="shared" si="7"/>
        <v>0</v>
      </c>
    </row>
    <row r="98" spans="1:14" x14ac:dyDescent="0.25">
      <c r="A98" s="1">
        <f>IF(L98="","",MAX($A$1:$A97)+1)</f>
        <v>50</v>
      </c>
      <c r="B98" s="38" t="s">
        <v>241</v>
      </c>
      <c r="C98" s="46" t="s">
        <v>106</v>
      </c>
      <c r="D98" s="35"/>
      <c r="E98" s="36" t="s">
        <v>18</v>
      </c>
      <c r="F98" s="36">
        <f>2*0.25*23.2</f>
        <v>11.6</v>
      </c>
      <c r="G98" s="36" t="s">
        <v>19</v>
      </c>
      <c r="H98" s="36">
        <v>0.4</v>
      </c>
      <c r="I98" s="36" t="s">
        <v>18</v>
      </c>
      <c r="J98" s="37">
        <f>SUM(F98:H98)</f>
        <v>12</v>
      </c>
      <c r="K98" s="38" t="s">
        <v>7</v>
      </c>
      <c r="L98" s="43">
        <v>12</v>
      </c>
      <c r="M98" s="39"/>
      <c r="N98" s="26">
        <f t="shared" si="7"/>
        <v>0</v>
      </c>
    </row>
    <row r="99" spans="1:14" x14ac:dyDescent="0.25">
      <c r="A99" s="1">
        <f>IF(L99="","",MAX($A$1:$A98)+1)</f>
        <v>51</v>
      </c>
      <c r="B99" s="38" t="s">
        <v>256</v>
      </c>
      <c r="C99" s="46" t="s">
        <v>98</v>
      </c>
      <c r="D99" s="35" t="s">
        <v>99</v>
      </c>
      <c r="E99" s="36" t="s">
        <v>18</v>
      </c>
      <c r="F99" s="48">
        <v>155</v>
      </c>
      <c r="G99" s="36" t="s">
        <v>19</v>
      </c>
      <c r="H99" s="36">
        <v>0.36</v>
      </c>
      <c r="I99" s="36" t="s">
        <v>18</v>
      </c>
      <c r="J99" s="47">
        <f>SUM(F99:H99)</f>
        <v>155.36000000000001</v>
      </c>
      <c r="K99" s="38" t="s">
        <v>7</v>
      </c>
      <c r="L99" s="43">
        <v>155.36000000000001</v>
      </c>
      <c r="M99" s="39"/>
      <c r="N99" s="26">
        <f t="shared" ref="N99:N101" si="8">M99*L99</f>
        <v>0</v>
      </c>
    </row>
    <row r="100" spans="1:14" x14ac:dyDescent="0.25">
      <c r="A100" s="1">
        <f>IF(L100="","",MAX($A$1:$A99)+1)</f>
        <v>52</v>
      </c>
      <c r="B100" s="38" t="s">
        <v>254</v>
      </c>
      <c r="C100" s="46" t="s">
        <v>104</v>
      </c>
      <c r="D100" s="35"/>
      <c r="E100" s="36"/>
      <c r="F100" s="36"/>
      <c r="G100" s="36"/>
      <c r="H100" s="36"/>
      <c r="I100" s="36"/>
      <c r="J100" s="37"/>
      <c r="K100" s="38" t="s">
        <v>7</v>
      </c>
      <c r="L100" s="43">
        <v>36</v>
      </c>
      <c r="M100" s="39"/>
      <c r="N100" s="26">
        <f t="shared" si="8"/>
        <v>0</v>
      </c>
    </row>
    <row r="101" spans="1:14" ht="22.5" x14ac:dyDescent="0.25">
      <c r="A101" s="1">
        <f>IF(L101="","",MAX($A$1:$A100)+1)</f>
        <v>53</v>
      </c>
      <c r="B101" s="38" t="s">
        <v>243</v>
      </c>
      <c r="C101" s="46" t="s">
        <v>100</v>
      </c>
      <c r="D101" s="35" t="s">
        <v>101</v>
      </c>
      <c r="E101" s="36" t="s">
        <v>18</v>
      </c>
      <c r="F101" s="48">
        <v>119</v>
      </c>
      <c r="G101" s="36"/>
      <c r="H101" s="36"/>
      <c r="I101" s="36"/>
      <c r="J101" s="47"/>
      <c r="K101" s="38" t="s">
        <v>7</v>
      </c>
      <c r="L101" s="43">
        <v>119</v>
      </c>
      <c r="M101" s="39"/>
      <c r="N101" s="26">
        <f t="shared" si="8"/>
        <v>0</v>
      </c>
    </row>
    <row r="102" spans="1:14" x14ac:dyDescent="0.25">
      <c r="A102" s="1">
        <f>IF(L102="","",MAX($A$1:$A101)+1)</f>
        <v>54</v>
      </c>
      <c r="B102" s="38" t="s">
        <v>243</v>
      </c>
      <c r="C102" s="46" t="s">
        <v>107</v>
      </c>
      <c r="D102" s="35"/>
      <c r="E102" s="36"/>
      <c r="F102" s="36"/>
      <c r="G102" s="36"/>
      <c r="H102" s="36"/>
      <c r="I102" s="36"/>
      <c r="J102" s="37"/>
      <c r="K102" s="38" t="s">
        <v>7</v>
      </c>
      <c r="L102" s="43">
        <v>119</v>
      </c>
      <c r="M102" s="39"/>
      <c r="N102" s="26">
        <f t="shared" si="7"/>
        <v>0</v>
      </c>
    </row>
    <row r="103" spans="1:14" x14ac:dyDescent="0.25">
      <c r="A103" s="1">
        <f>IF(L103="","",MAX($A$1:$A102)+1)</f>
        <v>55</v>
      </c>
      <c r="B103" s="38" t="s">
        <v>243</v>
      </c>
      <c r="C103" s="98" t="s">
        <v>110</v>
      </c>
      <c r="D103" s="35"/>
      <c r="E103" s="36" t="s">
        <v>18</v>
      </c>
      <c r="F103" s="36">
        <v>89.6</v>
      </c>
      <c r="G103" s="36" t="s">
        <v>19</v>
      </c>
      <c r="H103" s="36">
        <v>0.4</v>
      </c>
      <c r="I103" s="36" t="s">
        <v>18</v>
      </c>
      <c r="J103" s="37">
        <f>SUM(F103:H103)</f>
        <v>90</v>
      </c>
      <c r="K103" s="38" t="s">
        <v>5</v>
      </c>
      <c r="L103" s="43">
        <v>90</v>
      </c>
      <c r="M103" s="39"/>
      <c r="N103" s="26">
        <f t="shared" si="7"/>
        <v>0</v>
      </c>
    </row>
    <row r="104" spans="1:14" x14ac:dyDescent="0.25">
      <c r="A104" s="1">
        <f>IF(L104="","",MAX($A$1:$A103)+1)</f>
        <v>56</v>
      </c>
      <c r="B104" s="38" t="s">
        <v>243</v>
      </c>
      <c r="C104" s="46" t="s">
        <v>244</v>
      </c>
      <c r="D104" s="35" t="s">
        <v>53</v>
      </c>
      <c r="E104" s="36"/>
      <c r="F104" s="36"/>
      <c r="G104" s="36"/>
      <c r="H104" s="36"/>
      <c r="I104" s="36"/>
      <c r="J104" s="37"/>
      <c r="K104" s="38" t="s">
        <v>1</v>
      </c>
      <c r="L104" s="38">
        <v>6</v>
      </c>
      <c r="M104" s="39"/>
      <c r="N104" s="26">
        <f t="shared" si="7"/>
        <v>0</v>
      </c>
    </row>
    <row r="105" spans="1:14" x14ac:dyDescent="0.25">
      <c r="A105" s="1">
        <f>IF(L105="","",MAX($A$1:$A102)+1)</f>
        <v>55</v>
      </c>
      <c r="B105" s="38" t="s">
        <v>248</v>
      </c>
      <c r="C105" s="46" t="s">
        <v>108</v>
      </c>
      <c r="D105" s="35"/>
      <c r="E105" s="36"/>
      <c r="F105" s="36"/>
      <c r="G105" s="36"/>
      <c r="H105" s="36"/>
      <c r="I105" s="36"/>
      <c r="J105" s="37"/>
      <c r="K105" s="38" t="s">
        <v>5</v>
      </c>
      <c r="L105" s="43">
        <v>45</v>
      </c>
      <c r="M105" s="39"/>
      <c r="N105" s="26">
        <f t="shared" si="7"/>
        <v>0</v>
      </c>
    </row>
    <row r="106" spans="1:14" x14ac:dyDescent="0.25">
      <c r="A106" s="1">
        <f>IF(L106="","",MAX($A$1:$A105)+1)</f>
        <v>57</v>
      </c>
      <c r="B106" s="38" t="s">
        <v>248</v>
      </c>
      <c r="C106" s="46" t="s">
        <v>109</v>
      </c>
      <c r="D106" s="35"/>
      <c r="E106" s="36"/>
      <c r="F106" s="36"/>
      <c r="G106" s="36"/>
      <c r="H106" s="36"/>
      <c r="I106" s="36"/>
      <c r="J106" s="37"/>
      <c r="K106" s="38" t="s">
        <v>5</v>
      </c>
      <c r="L106" s="43">
        <v>45</v>
      </c>
      <c r="M106" s="39"/>
      <c r="N106" s="26">
        <f t="shared" si="7"/>
        <v>0</v>
      </c>
    </row>
    <row r="107" spans="1:14" x14ac:dyDescent="0.25">
      <c r="A107" s="1">
        <f>IF(L107="","",MAX($A$1:$A106)+1)</f>
        <v>58</v>
      </c>
      <c r="B107" s="38" t="s">
        <v>268</v>
      </c>
      <c r="C107" s="46" t="s">
        <v>226</v>
      </c>
      <c r="D107" s="35" t="s">
        <v>111</v>
      </c>
      <c r="E107" s="36" t="s">
        <v>18</v>
      </c>
      <c r="F107" s="36">
        <f>F92+F89+F93*0.4</f>
        <v>172.56</v>
      </c>
      <c r="G107" s="36" t="s">
        <v>19</v>
      </c>
      <c r="H107" s="36">
        <v>0.44</v>
      </c>
      <c r="I107" s="36" t="s">
        <v>18</v>
      </c>
      <c r="J107" s="37">
        <f>SUM(F107:H107)</f>
        <v>173</v>
      </c>
      <c r="K107" s="38" t="s">
        <v>7</v>
      </c>
      <c r="L107" s="43">
        <v>173</v>
      </c>
      <c r="M107" s="39"/>
      <c r="N107" s="26">
        <f t="shared" si="7"/>
        <v>0</v>
      </c>
    </row>
    <row r="108" spans="1:14" x14ac:dyDescent="0.25">
      <c r="A108" s="1" t="str">
        <f>IF(L108="","",MAX($A$1:$A107)+1)</f>
        <v/>
      </c>
      <c r="B108" s="38"/>
      <c r="C108" s="46"/>
      <c r="D108" s="35"/>
      <c r="E108" s="36"/>
      <c r="F108" s="36"/>
      <c r="G108" s="36"/>
      <c r="H108" s="36"/>
      <c r="I108" s="36"/>
      <c r="J108" s="37"/>
      <c r="K108" s="38"/>
      <c r="L108" s="38"/>
      <c r="M108" s="39"/>
      <c r="N108" s="26"/>
    </row>
    <row r="109" spans="1:14" x14ac:dyDescent="0.25">
      <c r="A109" s="1" t="str">
        <f>IF(L109="","",MAX($A$1:$A108)+1)</f>
        <v/>
      </c>
      <c r="B109" s="38" t="s">
        <v>237</v>
      </c>
      <c r="C109" s="46" t="s">
        <v>112</v>
      </c>
      <c r="D109" s="35"/>
      <c r="E109" s="36"/>
      <c r="F109" s="36"/>
      <c r="G109" s="36"/>
      <c r="H109" s="36"/>
      <c r="I109" s="36"/>
      <c r="J109" s="37"/>
      <c r="K109" s="38"/>
      <c r="L109" s="38"/>
      <c r="M109" s="39"/>
      <c r="N109" s="26"/>
    </row>
    <row r="110" spans="1:14" x14ac:dyDescent="0.25">
      <c r="A110" s="1">
        <f>IF(L110="","",MAX($A$1:$A109)+1)</f>
        <v>59</v>
      </c>
      <c r="B110" s="38" t="s">
        <v>234</v>
      </c>
      <c r="C110" s="46" t="s">
        <v>113</v>
      </c>
      <c r="D110" s="35"/>
      <c r="E110" s="36"/>
      <c r="F110" s="36"/>
      <c r="G110" s="36"/>
      <c r="H110" s="36"/>
      <c r="I110" s="36"/>
      <c r="J110" s="37"/>
      <c r="K110" s="38" t="s">
        <v>1</v>
      </c>
      <c r="L110" s="38">
        <v>4</v>
      </c>
      <c r="M110" s="39"/>
      <c r="N110" s="26">
        <f t="shared" si="7"/>
        <v>0</v>
      </c>
    </row>
    <row r="111" spans="1:14" x14ac:dyDescent="0.25">
      <c r="A111" s="1">
        <f>IF(L111="","",MAX($A$1:$A110)+1)</f>
        <v>60</v>
      </c>
      <c r="B111" s="38" t="s">
        <v>234</v>
      </c>
      <c r="C111" s="46" t="s">
        <v>115</v>
      </c>
      <c r="D111" s="35"/>
      <c r="E111" s="36" t="s">
        <v>18</v>
      </c>
      <c r="F111" s="36">
        <f>4*7.8</f>
        <v>31.2</v>
      </c>
      <c r="G111" s="36" t="s">
        <v>19</v>
      </c>
      <c r="H111" s="36">
        <v>0.3</v>
      </c>
      <c r="I111" s="36" t="s">
        <v>18</v>
      </c>
      <c r="J111" s="37">
        <f>SUM(F111:H111)</f>
        <v>31.5</v>
      </c>
      <c r="K111" s="38" t="s">
        <v>5</v>
      </c>
      <c r="L111" s="38">
        <v>31.5</v>
      </c>
      <c r="M111" s="39"/>
      <c r="N111" s="26">
        <f t="shared" ref="N111" si="9">M111*L111</f>
        <v>0</v>
      </c>
    </row>
    <row r="112" spans="1:14" x14ac:dyDescent="0.25">
      <c r="A112" s="1">
        <f>IF(L112="","",MAX($A$1:$A111)+1)</f>
        <v>61</v>
      </c>
      <c r="B112" s="38" t="s">
        <v>234</v>
      </c>
      <c r="C112" s="46" t="s">
        <v>114</v>
      </c>
      <c r="D112" s="35"/>
      <c r="E112" s="36"/>
      <c r="F112" s="36"/>
      <c r="G112" s="36"/>
      <c r="H112" s="36"/>
      <c r="I112" s="36"/>
      <c r="J112" s="37"/>
      <c r="K112" s="38" t="s">
        <v>1</v>
      </c>
      <c r="L112" s="38">
        <v>4</v>
      </c>
      <c r="M112" s="39"/>
      <c r="N112" s="26">
        <f t="shared" si="7"/>
        <v>0</v>
      </c>
    </row>
    <row r="113" spans="1:14" x14ac:dyDescent="0.25">
      <c r="A113" s="1">
        <f>IF(L113="","",MAX($A$1:$A112)+1)</f>
        <v>62</v>
      </c>
      <c r="B113" s="38" t="s">
        <v>234</v>
      </c>
      <c r="C113" s="46" t="s">
        <v>116</v>
      </c>
      <c r="D113" s="35"/>
      <c r="E113" s="36"/>
      <c r="F113" s="36"/>
      <c r="G113" s="36"/>
      <c r="H113" s="36"/>
      <c r="I113" s="36"/>
      <c r="J113" s="37"/>
      <c r="K113" s="38" t="s">
        <v>5</v>
      </c>
      <c r="L113" s="38">
        <v>31.5</v>
      </c>
      <c r="M113" s="39"/>
      <c r="N113" s="26">
        <f t="shared" si="7"/>
        <v>0</v>
      </c>
    </row>
    <row r="114" spans="1:14" x14ac:dyDescent="0.25">
      <c r="A114" s="1">
        <f>IF(L114="","",MAX($A$1:$A113)+1)</f>
        <v>63</v>
      </c>
      <c r="B114" s="38" t="s">
        <v>235</v>
      </c>
      <c r="C114" s="46" t="s">
        <v>272</v>
      </c>
      <c r="D114" s="35"/>
      <c r="E114" s="36"/>
      <c r="F114" s="36"/>
      <c r="G114" s="36"/>
      <c r="H114" s="36"/>
      <c r="I114" s="36"/>
      <c r="J114" s="37"/>
      <c r="K114" s="38" t="s">
        <v>5</v>
      </c>
      <c r="L114" s="43">
        <v>10</v>
      </c>
      <c r="M114" s="39"/>
      <c r="N114" s="26">
        <f>M114*L114</f>
        <v>0</v>
      </c>
    </row>
    <row r="115" spans="1:14" x14ac:dyDescent="0.25">
      <c r="A115" s="1" t="str">
        <f>IF(L115="","",MAX($A$1:$A113)+1)</f>
        <v/>
      </c>
      <c r="B115" s="38"/>
      <c r="C115" s="46"/>
      <c r="D115" s="35"/>
      <c r="E115" s="36"/>
      <c r="F115" s="36"/>
      <c r="G115" s="36"/>
      <c r="H115" s="36"/>
      <c r="I115" s="36"/>
      <c r="J115" s="37"/>
      <c r="K115" s="38"/>
      <c r="L115" s="38"/>
      <c r="M115" s="39"/>
      <c r="N115" s="26"/>
    </row>
    <row r="116" spans="1:14" x14ac:dyDescent="0.25">
      <c r="A116" s="1">
        <f>IF(L116="","",MAX($A$1:$A115)+1)</f>
        <v>64</v>
      </c>
      <c r="B116" s="38" t="s">
        <v>238</v>
      </c>
      <c r="C116" s="41" t="s">
        <v>274</v>
      </c>
      <c r="D116" s="35"/>
      <c r="E116" s="36"/>
      <c r="F116" s="36"/>
      <c r="G116" s="36"/>
      <c r="H116" s="36"/>
      <c r="I116" s="36"/>
      <c r="J116" s="37"/>
      <c r="K116" s="38" t="s">
        <v>4</v>
      </c>
      <c r="L116" s="38">
        <v>1</v>
      </c>
      <c r="M116" s="39"/>
      <c r="N116" s="26">
        <f t="shared" ref="N116" si="10">M116*L116</f>
        <v>0</v>
      </c>
    </row>
    <row r="117" spans="1:14" x14ac:dyDescent="0.25">
      <c r="A117" s="1" t="str">
        <f>IF(L117="","",MAX($A$1:$A115)+1)</f>
        <v/>
      </c>
      <c r="B117" s="38"/>
      <c r="C117" s="41"/>
      <c r="D117" s="35"/>
      <c r="E117" s="36"/>
      <c r="F117" s="36"/>
      <c r="G117" s="36"/>
      <c r="H117" s="36"/>
      <c r="I117" s="36"/>
      <c r="J117" s="37"/>
      <c r="K117" s="38"/>
      <c r="L117" s="38"/>
      <c r="M117" s="39"/>
      <c r="N117" s="26"/>
    </row>
    <row r="118" spans="1:14" x14ac:dyDescent="0.25">
      <c r="A118" s="1" t="str">
        <f>IF(L118="","",MAX($A$1:$A117)+1)</f>
        <v/>
      </c>
      <c r="B118" s="38"/>
      <c r="C118" s="68"/>
      <c r="D118" s="35"/>
      <c r="E118" s="36"/>
      <c r="F118" s="36"/>
      <c r="G118" s="36"/>
      <c r="H118" s="36"/>
      <c r="I118" s="36"/>
      <c r="J118" s="37"/>
      <c r="K118" s="38"/>
      <c r="L118" s="38"/>
      <c r="M118" s="39"/>
      <c r="N118" s="26"/>
    </row>
    <row r="119" spans="1:14" x14ac:dyDescent="0.25">
      <c r="A119" s="1" t="str">
        <f>IF(L119="","",MAX($A$1:$A118)+1)</f>
        <v/>
      </c>
      <c r="B119" s="38"/>
      <c r="C119" s="69" t="s">
        <v>21</v>
      </c>
      <c r="D119" s="35"/>
      <c r="E119" s="36"/>
      <c r="F119" s="36"/>
      <c r="G119" s="36"/>
      <c r="H119" s="36"/>
      <c r="I119" s="36"/>
      <c r="J119" s="37"/>
      <c r="K119" s="38"/>
      <c r="L119" s="43"/>
      <c r="M119" s="39"/>
      <c r="N119" s="26"/>
    </row>
    <row r="120" spans="1:14" x14ac:dyDescent="0.25">
      <c r="A120" s="1" t="str">
        <f>IF(L120="","",MAX($A$1:$A119)+1)</f>
        <v/>
      </c>
      <c r="B120" s="38"/>
      <c r="C120" s="69"/>
      <c r="D120" s="35"/>
      <c r="E120" s="36"/>
      <c r="F120" s="36"/>
      <c r="G120" s="36"/>
      <c r="H120" s="36"/>
      <c r="I120" s="36"/>
      <c r="J120" s="37"/>
      <c r="K120" s="38"/>
      <c r="L120" s="43"/>
      <c r="M120" s="39"/>
      <c r="N120" s="26"/>
    </row>
    <row r="121" spans="1:14" x14ac:dyDescent="0.25">
      <c r="A121" s="1" t="str">
        <f>IF(L121="","",MAX($A$1:$A120)+1)</f>
        <v/>
      </c>
      <c r="B121" s="38"/>
      <c r="C121" s="45" t="s">
        <v>27</v>
      </c>
      <c r="D121" s="35"/>
      <c r="E121" s="36"/>
      <c r="F121" s="36"/>
      <c r="G121" s="36"/>
      <c r="H121" s="36"/>
      <c r="I121" s="36"/>
      <c r="J121" s="37"/>
      <c r="K121" s="38"/>
      <c r="L121" s="38"/>
      <c r="M121" s="39"/>
      <c r="N121" s="26"/>
    </row>
    <row r="122" spans="1:14" x14ac:dyDescent="0.25">
      <c r="A122" s="1">
        <f>IF(L122="","",MAX($A$1:$A121)+1)</f>
        <v>65</v>
      </c>
      <c r="B122" s="38" t="s">
        <v>231</v>
      </c>
      <c r="C122" s="46" t="s">
        <v>290</v>
      </c>
      <c r="D122" s="35"/>
      <c r="E122" s="36"/>
      <c r="F122" s="36"/>
      <c r="G122" s="36"/>
      <c r="H122" s="36"/>
      <c r="I122" s="36"/>
      <c r="J122" s="37"/>
      <c r="K122" s="38" t="s">
        <v>4</v>
      </c>
      <c r="L122" s="38">
        <v>1</v>
      </c>
      <c r="M122" s="39"/>
      <c r="N122" s="26">
        <f t="shared" ref="N122:N129" si="11">M122*L122</f>
        <v>0</v>
      </c>
    </row>
    <row r="123" spans="1:14" x14ac:dyDescent="0.25">
      <c r="A123" s="1">
        <f>IF(L123="","",MAX($A$1:$A122)+1)</f>
        <v>66</v>
      </c>
      <c r="B123" s="38" t="s">
        <v>232</v>
      </c>
      <c r="C123" s="46" t="s">
        <v>91</v>
      </c>
      <c r="D123" s="35"/>
      <c r="E123" s="36" t="s">
        <v>18</v>
      </c>
      <c r="F123" s="36">
        <f>23.2*1.55</f>
        <v>35.96</v>
      </c>
      <c r="G123" s="36" t="s">
        <v>19</v>
      </c>
      <c r="H123" s="36">
        <v>0.04</v>
      </c>
      <c r="I123" s="36" t="s">
        <v>18</v>
      </c>
      <c r="J123" s="47">
        <f>SUM(F123+H123)</f>
        <v>36</v>
      </c>
      <c r="K123" s="38" t="s">
        <v>7</v>
      </c>
      <c r="L123" s="43">
        <v>36</v>
      </c>
      <c r="M123" s="39"/>
      <c r="N123" s="26">
        <f t="shared" si="11"/>
        <v>0</v>
      </c>
    </row>
    <row r="124" spans="1:14" ht="22.5" x14ac:dyDescent="0.25">
      <c r="A124" s="1">
        <f>IF(L124="","",MAX($A$1:$A123)+1)</f>
        <v>67</v>
      </c>
      <c r="B124" s="38" t="s">
        <v>232</v>
      </c>
      <c r="C124" s="46" t="s">
        <v>92</v>
      </c>
      <c r="D124" s="35"/>
      <c r="E124" s="36" t="s">
        <v>18</v>
      </c>
      <c r="F124" s="36">
        <f>2*(0.3+0.25)*23.3</f>
        <v>25.63</v>
      </c>
      <c r="G124" s="36" t="s">
        <v>19</v>
      </c>
      <c r="H124" s="36">
        <v>0.37</v>
      </c>
      <c r="I124" s="36" t="s">
        <v>18</v>
      </c>
      <c r="J124" s="47">
        <f>SUM(F124:H124)</f>
        <v>26</v>
      </c>
      <c r="K124" s="38" t="s">
        <v>7</v>
      </c>
      <c r="L124" s="43">
        <v>26</v>
      </c>
      <c r="M124" s="39"/>
      <c r="N124" s="26">
        <f t="shared" si="11"/>
        <v>0</v>
      </c>
    </row>
    <row r="125" spans="1:14" x14ac:dyDescent="0.25">
      <c r="A125" s="1">
        <f>IF(L125="","",MAX($A$1:$A124)+1)</f>
        <v>68</v>
      </c>
      <c r="B125" s="38" t="s">
        <v>232</v>
      </c>
      <c r="C125" s="46" t="s">
        <v>93</v>
      </c>
      <c r="D125" s="35"/>
      <c r="E125" s="36" t="s">
        <v>18</v>
      </c>
      <c r="F125" s="36">
        <f>F91</f>
        <v>171.44</v>
      </c>
      <c r="G125" s="36" t="s">
        <v>19</v>
      </c>
      <c r="H125" s="36">
        <v>0.56000000000000005</v>
      </c>
      <c r="I125" s="36" t="s">
        <v>18</v>
      </c>
      <c r="J125" s="47">
        <f>SUM(F125:H125)</f>
        <v>172</v>
      </c>
      <c r="K125" s="38" t="s">
        <v>7</v>
      </c>
      <c r="L125" s="43">
        <v>172</v>
      </c>
      <c r="M125" s="39"/>
      <c r="N125" s="26">
        <f t="shared" si="11"/>
        <v>0</v>
      </c>
    </row>
    <row r="126" spans="1:14" x14ac:dyDescent="0.25">
      <c r="A126" s="1">
        <f>IF(L126="","",MAX($A$1:$A125)+1)</f>
        <v>69</v>
      </c>
      <c r="B126" s="38" t="s">
        <v>232</v>
      </c>
      <c r="C126" s="46" t="s">
        <v>94</v>
      </c>
      <c r="D126" s="35"/>
      <c r="E126" s="36" t="s">
        <v>18</v>
      </c>
      <c r="F126" s="36">
        <f>7.5*22.4+0.8*4.3-(1.55*23.2+22.4*(0.35+0.4))</f>
        <v>118.68</v>
      </c>
      <c r="G126" s="36" t="s">
        <v>19</v>
      </c>
      <c r="H126" s="36">
        <v>0.32</v>
      </c>
      <c r="I126" s="36" t="s">
        <v>18</v>
      </c>
      <c r="J126" s="47">
        <f>SUM(F126:H126)</f>
        <v>119</v>
      </c>
      <c r="K126" s="38" t="s">
        <v>7</v>
      </c>
      <c r="L126" s="43">
        <v>119</v>
      </c>
      <c r="M126" s="39"/>
      <c r="N126" s="26">
        <f t="shared" si="11"/>
        <v>0</v>
      </c>
    </row>
    <row r="127" spans="1:14" x14ac:dyDescent="0.25">
      <c r="A127" s="1">
        <f>IF(L127="","",MAX($A$1:$A126)+1)</f>
        <v>70</v>
      </c>
      <c r="B127" s="38" t="s">
        <v>232</v>
      </c>
      <c r="C127" s="46" t="s">
        <v>95</v>
      </c>
      <c r="D127" s="35"/>
      <c r="E127" s="36" t="s">
        <v>18</v>
      </c>
      <c r="F127" s="36">
        <f>2*22.4</f>
        <v>44.8</v>
      </c>
      <c r="G127" s="36" t="s">
        <v>19</v>
      </c>
      <c r="H127" s="36">
        <v>0.2</v>
      </c>
      <c r="I127" s="36" t="s">
        <v>18</v>
      </c>
      <c r="J127" s="47">
        <f>SUM(F127:H127)</f>
        <v>45</v>
      </c>
      <c r="K127" s="38" t="s">
        <v>5</v>
      </c>
      <c r="L127" s="43">
        <v>45</v>
      </c>
      <c r="M127" s="39"/>
      <c r="N127" s="26">
        <f t="shared" si="11"/>
        <v>0</v>
      </c>
    </row>
    <row r="128" spans="1:14" x14ac:dyDescent="0.25">
      <c r="A128" s="1" t="str">
        <f>IF(L128="","",MAX($A$1:$A127)+1)</f>
        <v/>
      </c>
      <c r="B128" s="38"/>
      <c r="C128" s="41"/>
      <c r="D128" s="35"/>
      <c r="E128" s="36"/>
      <c r="F128" s="36"/>
      <c r="G128" s="36"/>
      <c r="H128" s="36"/>
      <c r="I128" s="36"/>
      <c r="J128" s="37"/>
      <c r="K128" s="38"/>
      <c r="L128" s="38"/>
      <c r="M128" s="39"/>
      <c r="N128" s="26"/>
    </row>
    <row r="129" spans="1:14" x14ac:dyDescent="0.25">
      <c r="A129" s="1">
        <f>IF(L129="","",MAX($A$1:$A128)+1)</f>
        <v>71</v>
      </c>
      <c r="B129" s="38" t="s">
        <v>241</v>
      </c>
      <c r="C129" s="46" t="s">
        <v>96</v>
      </c>
      <c r="D129" s="35" t="s">
        <v>97</v>
      </c>
      <c r="E129" s="36" t="s">
        <v>18</v>
      </c>
      <c r="F129" s="48">
        <f>L123</f>
        <v>36</v>
      </c>
      <c r="G129" s="36"/>
      <c r="H129" s="36"/>
      <c r="I129" s="36"/>
      <c r="J129" s="37"/>
      <c r="K129" s="38" t="s">
        <v>7</v>
      </c>
      <c r="L129" s="43">
        <v>36</v>
      </c>
      <c r="M129" s="39"/>
      <c r="N129" s="26">
        <f t="shared" si="11"/>
        <v>0</v>
      </c>
    </row>
    <row r="130" spans="1:14" x14ac:dyDescent="0.25">
      <c r="A130" s="1">
        <f>IF(L130="","",MAX($A$1:$A129)+1)</f>
        <v>72</v>
      </c>
      <c r="B130" s="38" t="s">
        <v>241</v>
      </c>
      <c r="C130" s="46" t="s">
        <v>102</v>
      </c>
      <c r="D130" s="35" t="s">
        <v>103</v>
      </c>
      <c r="E130" s="36" t="s">
        <v>18</v>
      </c>
      <c r="F130" s="36">
        <f>2*(22.1+2*3.2+0.8)</f>
        <v>58.6</v>
      </c>
      <c r="G130" s="36" t="s">
        <v>19</v>
      </c>
      <c r="H130" s="36">
        <v>0.4</v>
      </c>
      <c r="I130" s="36" t="s">
        <v>18</v>
      </c>
      <c r="J130" s="37">
        <f>SUM(F130:H130)</f>
        <v>59</v>
      </c>
      <c r="K130" s="38" t="s">
        <v>5</v>
      </c>
      <c r="L130" s="43">
        <v>59</v>
      </c>
      <c r="M130" s="39"/>
      <c r="N130" s="26">
        <f t="shared" ref="N130:N141" si="12">M130*L130</f>
        <v>0</v>
      </c>
    </row>
    <row r="131" spans="1:14" x14ac:dyDescent="0.25">
      <c r="A131" s="1">
        <f>IF(L131="","",MAX($A$1:$A130)+1)</f>
        <v>73</v>
      </c>
      <c r="B131" s="38" t="s">
        <v>241</v>
      </c>
      <c r="C131" s="46" t="s">
        <v>105</v>
      </c>
      <c r="D131" s="35"/>
      <c r="E131" s="36"/>
      <c r="F131" s="36"/>
      <c r="G131" s="36"/>
      <c r="H131" s="36"/>
      <c r="I131" s="36"/>
      <c r="J131" s="37"/>
      <c r="K131" s="38" t="s">
        <v>7</v>
      </c>
      <c r="L131" s="43">
        <v>26</v>
      </c>
      <c r="M131" s="39"/>
      <c r="N131" s="26">
        <f t="shared" si="12"/>
        <v>0</v>
      </c>
    </row>
    <row r="132" spans="1:14" x14ac:dyDescent="0.25">
      <c r="A132" s="1">
        <f>IF(L132="","",MAX($A$1:$A131)+1)</f>
        <v>74</v>
      </c>
      <c r="B132" s="38" t="s">
        <v>241</v>
      </c>
      <c r="C132" s="46" t="s">
        <v>106</v>
      </c>
      <c r="D132" s="35"/>
      <c r="E132" s="36"/>
      <c r="F132" s="36"/>
      <c r="G132" s="36"/>
      <c r="H132" s="36"/>
      <c r="I132" s="36"/>
      <c r="J132" s="37"/>
      <c r="K132" s="38" t="s">
        <v>7</v>
      </c>
      <c r="L132" s="43">
        <v>172</v>
      </c>
      <c r="M132" s="39"/>
      <c r="N132" s="26">
        <f t="shared" si="12"/>
        <v>0</v>
      </c>
    </row>
    <row r="133" spans="1:14" x14ac:dyDescent="0.25">
      <c r="A133" s="1">
        <f>IF(L133="","",MAX($A$1:$A132)+1)</f>
        <v>75</v>
      </c>
      <c r="B133" s="38" t="s">
        <v>256</v>
      </c>
      <c r="C133" s="46" t="s">
        <v>98</v>
      </c>
      <c r="D133" s="35" t="s">
        <v>99</v>
      </c>
      <c r="E133" s="36" t="s">
        <v>18</v>
      </c>
      <c r="F133" s="48">
        <f>$F$126+$F$123</f>
        <v>154.63999999999999</v>
      </c>
      <c r="G133" s="36" t="s">
        <v>19</v>
      </c>
      <c r="H133" s="36">
        <v>0.36</v>
      </c>
      <c r="I133" s="36" t="s">
        <v>18</v>
      </c>
      <c r="J133" s="47">
        <f>SUM(F133:H133)</f>
        <v>155</v>
      </c>
      <c r="K133" s="38" t="s">
        <v>7</v>
      </c>
      <c r="L133" s="43">
        <v>155</v>
      </c>
      <c r="M133" s="39"/>
      <c r="N133" s="26">
        <f t="shared" si="12"/>
        <v>0</v>
      </c>
    </row>
    <row r="134" spans="1:14" x14ac:dyDescent="0.25">
      <c r="A134" s="1">
        <f>IF(L134="","",MAX($A$1:$A133)+1)</f>
        <v>76</v>
      </c>
      <c r="B134" s="38" t="s">
        <v>254</v>
      </c>
      <c r="C134" s="46" t="s">
        <v>104</v>
      </c>
      <c r="D134" s="35"/>
      <c r="E134" s="36"/>
      <c r="F134" s="36"/>
      <c r="G134" s="36"/>
      <c r="H134" s="36"/>
      <c r="I134" s="36"/>
      <c r="J134" s="37"/>
      <c r="K134" s="38" t="s">
        <v>7</v>
      </c>
      <c r="L134" s="43">
        <v>36</v>
      </c>
      <c r="M134" s="39"/>
      <c r="N134" s="26">
        <f t="shared" ref="N134" si="13">M134*L134</f>
        <v>0</v>
      </c>
    </row>
    <row r="135" spans="1:14" ht="22.5" x14ac:dyDescent="0.25">
      <c r="A135" s="1">
        <f>IF(L135="","",MAX($A$1:$A134)+1)</f>
        <v>77</v>
      </c>
      <c r="B135" s="38" t="s">
        <v>243</v>
      </c>
      <c r="C135" s="46" t="s">
        <v>100</v>
      </c>
      <c r="D135" s="35" t="s">
        <v>101</v>
      </c>
      <c r="E135" s="36" t="s">
        <v>18</v>
      </c>
      <c r="F135" s="48">
        <f>$J$126</f>
        <v>119</v>
      </c>
      <c r="G135" s="36"/>
      <c r="H135" s="36"/>
      <c r="I135" s="36"/>
      <c r="J135" s="47"/>
      <c r="K135" s="38" t="s">
        <v>7</v>
      </c>
      <c r="L135" s="43">
        <v>119</v>
      </c>
      <c r="M135" s="39"/>
      <c r="N135" s="26">
        <f t="shared" si="12"/>
        <v>0</v>
      </c>
    </row>
    <row r="136" spans="1:14" x14ac:dyDescent="0.25">
      <c r="A136" s="1">
        <f>IF(L136="","",MAX($A$1:$A135)+1)</f>
        <v>78</v>
      </c>
      <c r="B136" s="38" t="s">
        <v>243</v>
      </c>
      <c r="C136" s="46" t="s">
        <v>107</v>
      </c>
      <c r="D136" s="35"/>
      <c r="E136" s="36"/>
      <c r="F136" s="36"/>
      <c r="G136" s="36"/>
      <c r="H136" s="36"/>
      <c r="I136" s="36"/>
      <c r="J136" s="37"/>
      <c r="K136" s="38" t="s">
        <v>7</v>
      </c>
      <c r="L136" s="43">
        <v>119</v>
      </c>
      <c r="M136" s="39"/>
      <c r="N136" s="26">
        <f t="shared" si="12"/>
        <v>0</v>
      </c>
    </row>
    <row r="137" spans="1:14" x14ac:dyDescent="0.25">
      <c r="A137" s="1">
        <f>IF(L137="","",MAX($A$1:$A136)+1)</f>
        <v>79</v>
      </c>
      <c r="B137" s="38" t="s">
        <v>243</v>
      </c>
      <c r="C137" s="98" t="s">
        <v>110</v>
      </c>
      <c r="D137" s="35"/>
      <c r="E137" s="36" t="s">
        <v>18</v>
      </c>
      <c r="F137" s="36">
        <f>2*$F$127</f>
        <v>89.6</v>
      </c>
      <c r="G137" s="36" t="s">
        <v>19</v>
      </c>
      <c r="H137" s="36">
        <v>0.4</v>
      </c>
      <c r="I137" s="36" t="s">
        <v>18</v>
      </c>
      <c r="J137" s="37">
        <f>SUM(F137:H137)</f>
        <v>90</v>
      </c>
      <c r="K137" s="38" t="s">
        <v>5</v>
      </c>
      <c r="L137" s="43">
        <v>90</v>
      </c>
      <c r="M137" s="39"/>
      <c r="N137" s="26">
        <f t="shared" ref="N137" si="14">M137*L137</f>
        <v>0</v>
      </c>
    </row>
    <row r="138" spans="1:14" x14ac:dyDescent="0.25">
      <c r="A138" s="1">
        <f>IF(L138="","",MAX($A$1:$A137)+1)</f>
        <v>80</v>
      </c>
      <c r="B138" s="38" t="s">
        <v>243</v>
      </c>
      <c r="C138" s="46" t="s">
        <v>244</v>
      </c>
      <c r="D138" s="35" t="s">
        <v>53</v>
      </c>
      <c r="E138" s="36"/>
      <c r="F138" s="36"/>
      <c r="G138" s="36"/>
      <c r="H138" s="36"/>
      <c r="I138" s="36"/>
      <c r="J138" s="37"/>
      <c r="K138" s="38" t="s">
        <v>1</v>
      </c>
      <c r="L138" s="38">
        <v>6</v>
      </c>
      <c r="M138" s="39"/>
      <c r="N138" s="26">
        <f>M138*L138</f>
        <v>0</v>
      </c>
    </row>
    <row r="139" spans="1:14" x14ac:dyDescent="0.25">
      <c r="A139" s="1">
        <f>IF(L139="","",MAX($A$1:$A138)+1)</f>
        <v>81</v>
      </c>
      <c r="B139" s="38" t="s">
        <v>248</v>
      </c>
      <c r="C139" s="46" t="s">
        <v>108</v>
      </c>
      <c r="D139" s="35"/>
      <c r="E139" s="36"/>
      <c r="F139" s="36"/>
      <c r="G139" s="36"/>
      <c r="H139" s="36"/>
      <c r="I139" s="36"/>
      <c r="J139" s="37"/>
      <c r="K139" s="38" t="s">
        <v>5</v>
      </c>
      <c r="L139" s="43">
        <v>45</v>
      </c>
      <c r="M139" s="39"/>
      <c r="N139" s="26">
        <f t="shared" si="12"/>
        <v>0</v>
      </c>
    </row>
    <row r="140" spans="1:14" x14ac:dyDescent="0.25">
      <c r="A140" s="1">
        <f>IF(L140="","",MAX($A$1:$A139)+1)</f>
        <v>82</v>
      </c>
      <c r="B140" s="38" t="s">
        <v>248</v>
      </c>
      <c r="C140" s="46" t="s">
        <v>109</v>
      </c>
      <c r="D140" s="35"/>
      <c r="E140" s="36"/>
      <c r="F140" s="36"/>
      <c r="G140" s="36"/>
      <c r="H140" s="36"/>
      <c r="I140" s="36"/>
      <c r="J140" s="37"/>
      <c r="K140" s="38" t="s">
        <v>5</v>
      </c>
      <c r="L140" s="43">
        <v>45</v>
      </c>
      <c r="M140" s="39"/>
      <c r="N140" s="26">
        <f t="shared" si="12"/>
        <v>0</v>
      </c>
    </row>
    <row r="141" spans="1:14" x14ac:dyDescent="0.25">
      <c r="A141" s="1">
        <f>IF(L141="","",MAX($A$1:$A140)+1)</f>
        <v>83</v>
      </c>
      <c r="B141" s="38" t="s">
        <v>268</v>
      </c>
      <c r="C141" s="46" t="s">
        <v>226</v>
      </c>
      <c r="D141" s="35" t="s">
        <v>111</v>
      </c>
      <c r="E141" s="36" t="s">
        <v>18</v>
      </c>
      <c r="F141" s="36">
        <f>F126+F123+F127*0.4</f>
        <v>172.56</v>
      </c>
      <c r="G141" s="36" t="s">
        <v>19</v>
      </c>
      <c r="H141" s="36">
        <v>0.44</v>
      </c>
      <c r="I141" s="36" t="s">
        <v>18</v>
      </c>
      <c r="J141" s="37">
        <f>SUM(F141:H141)</f>
        <v>173</v>
      </c>
      <c r="K141" s="38" t="s">
        <v>7</v>
      </c>
      <c r="L141" s="38">
        <v>173</v>
      </c>
      <c r="M141" s="39"/>
      <c r="N141" s="26">
        <f t="shared" si="12"/>
        <v>0</v>
      </c>
    </row>
    <row r="142" spans="1:14" x14ac:dyDescent="0.25">
      <c r="A142" s="1" t="str">
        <f>IF(L142="","",MAX($A$1:$A141)+1)</f>
        <v/>
      </c>
      <c r="B142" s="38"/>
      <c r="C142" s="46"/>
      <c r="D142" s="35"/>
      <c r="E142" s="36"/>
      <c r="F142" s="36"/>
      <c r="G142" s="36"/>
      <c r="H142" s="36"/>
      <c r="I142" s="36"/>
      <c r="J142" s="37"/>
      <c r="K142" s="38"/>
      <c r="L142" s="38"/>
      <c r="M142" s="39"/>
      <c r="N142" s="26"/>
    </row>
    <row r="143" spans="1:14" x14ac:dyDescent="0.25">
      <c r="A143" s="1" t="str">
        <f>IF(L143="","",MAX($A$1:$A142)+1)</f>
        <v/>
      </c>
      <c r="B143" s="38" t="s">
        <v>237</v>
      </c>
      <c r="C143" s="46" t="s">
        <v>112</v>
      </c>
      <c r="D143" s="35"/>
      <c r="E143" s="36"/>
      <c r="F143" s="36"/>
      <c r="G143" s="36"/>
      <c r="H143" s="36"/>
      <c r="I143" s="36"/>
      <c r="J143" s="37"/>
      <c r="K143" s="38"/>
      <c r="L143" s="38"/>
      <c r="M143" s="39"/>
      <c r="N143" s="26"/>
    </row>
    <row r="144" spans="1:14" x14ac:dyDescent="0.25">
      <c r="A144" s="1">
        <f>IF(L144="","",MAX($A$1:$A143)+1)</f>
        <v>84</v>
      </c>
      <c r="B144" s="38" t="s">
        <v>234</v>
      </c>
      <c r="C144" s="46" t="s">
        <v>113</v>
      </c>
      <c r="D144" s="35"/>
      <c r="E144" s="36"/>
      <c r="F144" s="36"/>
      <c r="G144" s="36"/>
      <c r="H144" s="36"/>
      <c r="I144" s="36"/>
      <c r="J144" s="37"/>
      <c r="K144" s="38" t="s">
        <v>1</v>
      </c>
      <c r="L144" s="38">
        <v>4</v>
      </c>
      <c r="M144" s="39"/>
      <c r="N144" s="26">
        <f>M144*L144</f>
        <v>0</v>
      </c>
    </row>
    <row r="145" spans="1:14" x14ac:dyDescent="0.25">
      <c r="A145" s="1">
        <f>IF(L145="","",MAX($A$1:$A144)+1)</f>
        <v>85</v>
      </c>
      <c r="B145" s="38" t="s">
        <v>234</v>
      </c>
      <c r="C145" s="46" t="s">
        <v>115</v>
      </c>
      <c r="D145" s="35"/>
      <c r="E145" s="36" t="s">
        <v>18</v>
      </c>
      <c r="F145" s="36">
        <f>4*7.8</f>
        <v>31.2</v>
      </c>
      <c r="G145" s="36" t="s">
        <v>19</v>
      </c>
      <c r="H145" s="36">
        <v>0.3</v>
      </c>
      <c r="I145" s="36" t="s">
        <v>18</v>
      </c>
      <c r="J145" s="37">
        <f>SUM(F145:H145)</f>
        <v>31.5</v>
      </c>
      <c r="K145" s="38" t="s">
        <v>5</v>
      </c>
      <c r="L145" s="38">
        <v>31.5</v>
      </c>
      <c r="M145" s="39"/>
      <c r="N145" s="26">
        <f>M145*L145</f>
        <v>0</v>
      </c>
    </row>
    <row r="146" spans="1:14" x14ac:dyDescent="0.25">
      <c r="A146" s="1">
        <f>IF(L146="","",MAX($A$1:$A145)+1)</f>
        <v>86</v>
      </c>
      <c r="B146" s="38" t="s">
        <v>234</v>
      </c>
      <c r="C146" s="46" t="s">
        <v>114</v>
      </c>
      <c r="D146" s="35"/>
      <c r="E146" s="36"/>
      <c r="F146" s="36"/>
      <c r="G146" s="36"/>
      <c r="H146" s="36"/>
      <c r="I146" s="36"/>
      <c r="J146" s="37"/>
      <c r="K146" s="38" t="s">
        <v>1</v>
      </c>
      <c r="L146" s="38">
        <v>4</v>
      </c>
      <c r="M146" s="39"/>
      <c r="N146" s="26">
        <f>M146*L146</f>
        <v>0</v>
      </c>
    </row>
    <row r="147" spans="1:14" x14ac:dyDescent="0.25">
      <c r="A147" s="1">
        <f>IF(L147="","",MAX($A$1:$A146)+1)</f>
        <v>87</v>
      </c>
      <c r="B147" s="38" t="s">
        <v>234</v>
      </c>
      <c r="C147" s="46" t="s">
        <v>116</v>
      </c>
      <c r="D147" s="35"/>
      <c r="E147" s="36"/>
      <c r="F147" s="36"/>
      <c r="G147" s="36"/>
      <c r="H147" s="36"/>
      <c r="I147" s="36"/>
      <c r="J147" s="37"/>
      <c r="K147" s="38" t="s">
        <v>5</v>
      </c>
      <c r="L147" s="38">
        <v>31.5</v>
      </c>
      <c r="M147" s="39"/>
      <c r="N147" s="26">
        <f>M147*L147</f>
        <v>0</v>
      </c>
    </row>
    <row r="148" spans="1:14" x14ac:dyDescent="0.25">
      <c r="A148" s="1">
        <f>IF(L148="","",MAX($A$1:$A147)+1)</f>
        <v>88</v>
      </c>
      <c r="B148" s="38" t="s">
        <v>235</v>
      </c>
      <c r="C148" s="46" t="s">
        <v>272</v>
      </c>
      <c r="D148" s="35"/>
      <c r="E148" s="36"/>
      <c r="F148" s="36"/>
      <c r="G148" s="36"/>
      <c r="H148" s="36"/>
      <c r="I148" s="36"/>
      <c r="J148" s="37"/>
      <c r="K148" s="38" t="s">
        <v>5</v>
      </c>
      <c r="L148" s="43">
        <v>10</v>
      </c>
      <c r="M148" s="39"/>
      <c r="N148" s="26">
        <f>M148*L148</f>
        <v>0</v>
      </c>
    </row>
    <row r="149" spans="1:14" x14ac:dyDescent="0.25">
      <c r="A149" s="1" t="str">
        <f>IF(L149="","",MAX($A$1:$A147)+1)</f>
        <v/>
      </c>
      <c r="B149" s="38"/>
      <c r="C149" s="46"/>
      <c r="D149" s="35"/>
      <c r="E149" s="36"/>
      <c r="F149" s="36"/>
      <c r="G149" s="36"/>
      <c r="H149" s="36"/>
      <c r="I149" s="36"/>
      <c r="J149" s="37"/>
      <c r="K149" s="38"/>
      <c r="L149" s="38"/>
      <c r="M149" s="39"/>
      <c r="N149" s="26"/>
    </row>
    <row r="150" spans="1:14" x14ac:dyDescent="0.25">
      <c r="A150" s="1">
        <f>IF(L150="","",MAX($A$1:$A149)+1)</f>
        <v>89</v>
      </c>
      <c r="B150" s="38" t="s">
        <v>238</v>
      </c>
      <c r="C150" s="41" t="s">
        <v>274</v>
      </c>
      <c r="D150" s="35"/>
      <c r="E150" s="36"/>
      <c r="F150" s="36"/>
      <c r="G150" s="36"/>
      <c r="H150" s="36"/>
      <c r="I150" s="36"/>
      <c r="J150" s="37"/>
      <c r="K150" s="38" t="s">
        <v>4</v>
      </c>
      <c r="L150" s="38">
        <v>1</v>
      </c>
      <c r="M150" s="39"/>
      <c r="N150" s="26">
        <f t="shared" ref="N150" si="15">M150*L150</f>
        <v>0</v>
      </c>
    </row>
    <row r="151" spans="1:14" x14ac:dyDescent="0.25">
      <c r="A151" s="1" t="str">
        <f>IF(L151="","",MAX($A$1:$A149)+1)</f>
        <v/>
      </c>
      <c r="B151" s="38"/>
      <c r="C151" s="72"/>
      <c r="D151" s="35"/>
      <c r="E151" s="36"/>
      <c r="F151" s="36"/>
      <c r="G151" s="36"/>
      <c r="H151" s="36"/>
      <c r="I151" s="36"/>
      <c r="J151" s="37"/>
      <c r="K151" s="38"/>
      <c r="L151" s="38"/>
      <c r="M151" s="39"/>
      <c r="N151" s="26"/>
    </row>
    <row r="152" spans="1:14" x14ac:dyDescent="0.25">
      <c r="A152" s="1" t="str">
        <f>IF(L152="","",MAX($A$1:$A151)+1)</f>
        <v/>
      </c>
      <c r="B152" s="38"/>
      <c r="C152" s="72"/>
      <c r="D152" s="35"/>
      <c r="E152" s="36"/>
      <c r="F152" s="36"/>
      <c r="G152" s="36"/>
      <c r="H152" s="36"/>
      <c r="I152" s="36"/>
      <c r="J152" s="37"/>
      <c r="K152" s="38"/>
      <c r="L152" s="38"/>
      <c r="M152" s="39"/>
      <c r="N152" s="26"/>
    </row>
    <row r="153" spans="1:14" x14ac:dyDescent="0.25">
      <c r="A153" s="1" t="str">
        <f>IF(L153="","",MAX($A$1:$A152)+1)</f>
        <v/>
      </c>
      <c r="B153" s="38"/>
      <c r="C153" s="70"/>
      <c r="D153" s="35"/>
      <c r="E153" s="36"/>
      <c r="F153" s="36"/>
      <c r="G153" s="36"/>
      <c r="H153" s="36"/>
      <c r="I153" s="36"/>
      <c r="J153" s="37"/>
      <c r="K153" s="38"/>
      <c r="L153" s="43"/>
      <c r="M153" s="39"/>
      <c r="N153" s="26"/>
    </row>
    <row r="154" spans="1:14" x14ac:dyDescent="0.25">
      <c r="A154" s="1" t="str">
        <f>IF(L154="","",MAX($A$1:$A153)+1)</f>
        <v/>
      </c>
      <c r="B154" s="124"/>
      <c r="C154" s="134" t="s">
        <v>291</v>
      </c>
      <c r="D154" s="135"/>
      <c r="E154" s="135"/>
      <c r="F154" s="135"/>
      <c r="G154" s="135"/>
      <c r="H154" s="135"/>
      <c r="I154" s="135"/>
      <c r="J154" s="135"/>
      <c r="K154" s="135"/>
      <c r="L154" s="135"/>
      <c r="M154" s="136"/>
      <c r="N154" s="21">
        <f>SUM(N8:N150)</f>
        <v>0</v>
      </c>
    </row>
    <row r="155" spans="1:14" x14ac:dyDescent="0.25">
      <c r="A155" s="1" t="str">
        <f>IF(L156="","",MAX($A$1:$A154)+1)</f>
        <v/>
      </c>
      <c r="B155" s="124"/>
      <c r="C155" s="137" t="s">
        <v>14</v>
      </c>
      <c r="D155" s="138"/>
      <c r="E155" s="138"/>
      <c r="F155" s="138"/>
      <c r="G155" s="138"/>
      <c r="H155" s="138"/>
      <c r="I155" s="138"/>
      <c r="J155" s="138"/>
      <c r="K155" s="138"/>
      <c r="L155" s="138"/>
      <c r="M155" s="139"/>
      <c r="N155" s="22">
        <f>0.2*N154</f>
        <v>0</v>
      </c>
    </row>
    <row r="156" spans="1:14" x14ac:dyDescent="0.25">
      <c r="A156" s="1" t="str">
        <f>IF(L157="","",MAX($A$1:$A155)+1)</f>
        <v/>
      </c>
      <c r="B156" s="125"/>
      <c r="C156" s="140" t="s">
        <v>298</v>
      </c>
      <c r="D156" s="141"/>
      <c r="E156" s="141"/>
      <c r="F156" s="141"/>
      <c r="G156" s="141"/>
      <c r="H156" s="141"/>
      <c r="I156" s="141"/>
      <c r="J156" s="141"/>
      <c r="K156" s="141"/>
      <c r="L156" s="141"/>
      <c r="M156" s="142"/>
      <c r="N156" s="111">
        <f>N155+N154</f>
        <v>0</v>
      </c>
    </row>
    <row r="157" spans="1:14" x14ac:dyDescent="0.25">
      <c r="A157" s="112"/>
    </row>
    <row r="164" spans="13:13" x14ac:dyDescent="0.25">
      <c r="M164">
        <v>150</v>
      </c>
    </row>
  </sheetData>
  <mergeCells count="4">
    <mergeCell ref="D1:J1"/>
    <mergeCell ref="C154:M154"/>
    <mergeCell ref="C155:M155"/>
    <mergeCell ref="C156:M156"/>
  </mergeCells>
  <printOptions horizontalCentered="1"/>
  <pageMargins left="0.59055118110236227" right="0.39370078740157483" top="0.78740157480314965" bottom="1.1023622047244095" header="0.39370078740157483" footer="0.59055118110236227"/>
  <pageSetup paperSize="9" scale="77" fitToHeight="0" orientation="portrait" r:id="rId1"/>
  <headerFooter alignWithMargins="0">
    <oddHeader xml:space="preserve">&amp;L&amp;"Arial,Normal"&amp;8Edifice : Paris - Sénat
Travaux : Restauration des façades et couvertures de l'aile Nord et des pavillons Nord-Est et Nord-Ouest du Palais du Luxembourg&amp;U
</oddHeader>
    <oddFooter>&amp;R
&amp;"Arial,Normal"&amp;9Page :&amp;P sur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5B9538-6DCC-4851-82C9-0433DE616F4A}">
  <sheetPr codeName="Feuil16">
    <tabColor theme="9"/>
    <pageSetUpPr fitToPage="1"/>
  </sheetPr>
  <dimension ref="A1:N96"/>
  <sheetViews>
    <sheetView showGridLines="0" tabSelected="1" view="pageBreakPreview" topLeftCell="A42" zoomScale="145" zoomScaleNormal="100" zoomScaleSheetLayoutView="145" workbookViewId="0">
      <selection activeCell="C57" sqref="C57"/>
    </sheetView>
  </sheetViews>
  <sheetFormatPr baseColWidth="10" defaultRowHeight="15" outlineLevelRow="1" outlineLevelCol="1" x14ac:dyDescent="0.25"/>
  <cols>
    <col min="1" max="1" width="6" style="6" customWidth="1"/>
    <col min="2" max="2" width="6" style="127" customWidth="1"/>
    <col min="3" max="3" width="57.85546875" style="94" customWidth="1"/>
    <col min="4" max="4" width="40.42578125" style="33" hidden="1" customWidth="1" outlineLevel="1"/>
    <col min="5" max="5" width="3.42578125" style="34" hidden="1" customWidth="1" outlineLevel="1"/>
    <col min="6" max="6" width="8.5703125" style="34" hidden="1" customWidth="1" outlineLevel="1"/>
    <col min="7" max="7" width="3.7109375" style="34" hidden="1" customWidth="1" outlineLevel="1"/>
    <col min="8" max="8" width="8.5703125" style="34" hidden="1" customWidth="1" outlineLevel="1"/>
    <col min="9" max="9" width="2.7109375" style="34" hidden="1" customWidth="1" outlineLevel="1"/>
    <col min="10" max="10" width="8.42578125" style="34" hidden="1" customWidth="1" outlineLevel="1"/>
    <col min="11" max="11" width="7.140625" style="9" customWidth="1" collapsed="1"/>
    <col min="12" max="12" width="6.85546875" style="9" customWidth="1"/>
    <col min="13" max="13" width="10.28515625" style="23" bestFit="1" customWidth="1"/>
    <col min="14" max="14" width="17.5703125" style="23" customWidth="1"/>
  </cols>
  <sheetData>
    <row r="1" spans="1:14" s="5" customFormat="1" ht="12" x14ac:dyDescent="0.2">
      <c r="A1" s="2" t="s">
        <v>6</v>
      </c>
      <c r="B1" s="87" t="s">
        <v>11</v>
      </c>
      <c r="C1" s="3" t="s">
        <v>0</v>
      </c>
      <c r="D1" s="143" t="s">
        <v>17</v>
      </c>
      <c r="E1" s="144"/>
      <c r="F1" s="144"/>
      <c r="G1" s="144"/>
      <c r="H1" s="144"/>
      <c r="I1" s="144"/>
      <c r="J1" s="145"/>
      <c r="K1" s="3" t="s">
        <v>1</v>
      </c>
      <c r="L1" s="3" t="s">
        <v>2</v>
      </c>
      <c r="M1" s="4" t="s">
        <v>3</v>
      </c>
      <c r="N1" s="4" t="s">
        <v>12</v>
      </c>
    </row>
    <row r="2" spans="1:14" x14ac:dyDescent="0.25">
      <c r="A2" s="11"/>
      <c r="B2" s="107"/>
      <c r="C2" s="92"/>
      <c r="D2" s="35"/>
      <c r="E2" s="36"/>
      <c r="F2" s="36"/>
      <c r="G2" s="36"/>
      <c r="H2" s="36"/>
      <c r="I2" s="36"/>
      <c r="J2" s="36"/>
      <c r="K2" s="12"/>
      <c r="L2" s="12"/>
      <c r="M2" s="13"/>
      <c r="N2" s="13"/>
    </row>
    <row r="3" spans="1:14" x14ac:dyDescent="0.25">
      <c r="A3" s="11"/>
      <c r="B3" s="107"/>
      <c r="C3" s="92"/>
      <c r="D3" s="35"/>
      <c r="E3" s="36"/>
      <c r="F3" s="36"/>
      <c r="G3" s="36"/>
      <c r="H3" s="36"/>
      <c r="I3" s="36"/>
      <c r="J3" s="36"/>
      <c r="K3" s="12"/>
      <c r="L3" s="12"/>
      <c r="M3" s="13"/>
      <c r="N3" s="13"/>
    </row>
    <row r="4" spans="1:14" x14ac:dyDescent="0.25">
      <c r="A4" s="11"/>
      <c r="B4" s="107"/>
      <c r="C4" s="19" t="s">
        <v>293</v>
      </c>
      <c r="D4" s="35"/>
      <c r="E4" s="36"/>
      <c r="F4" s="36"/>
      <c r="G4" s="36"/>
      <c r="H4" s="36"/>
      <c r="I4" s="36"/>
      <c r="J4" s="36"/>
      <c r="K4" s="12"/>
      <c r="L4" s="12"/>
      <c r="M4" s="13"/>
      <c r="N4" s="13"/>
    </row>
    <row r="5" spans="1:14" x14ac:dyDescent="0.25">
      <c r="A5" s="11"/>
      <c r="B5" s="107"/>
      <c r="C5" s="92"/>
      <c r="D5" s="35"/>
      <c r="E5" s="36"/>
      <c r="F5" s="36"/>
      <c r="G5" s="36"/>
      <c r="H5" s="36"/>
      <c r="I5" s="36"/>
      <c r="J5" s="36"/>
      <c r="K5" s="12"/>
      <c r="L5" s="12"/>
      <c r="M5" s="13"/>
      <c r="N5" s="13"/>
    </row>
    <row r="6" spans="1:14" x14ac:dyDescent="0.25">
      <c r="A6" s="11" t="str">
        <f>IF(L9="","",MAX($A$1:$A7)+1)</f>
        <v/>
      </c>
      <c r="B6" s="107"/>
      <c r="C6" s="57" t="s">
        <v>15</v>
      </c>
      <c r="D6" s="35"/>
      <c r="E6" s="36"/>
      <c r="F6" s="36"/>
      <c r="G6" s="36"/>
      <c r="H6" s="36"/>
      <c r="I6" s="36"/>
      <c r="J6" s="36"/>
      <c r="K6" s="12"/>
      <c r="L6" s="12"/>
      <c r="M6" s="13"/>
      <c r="N6" s="13"/>
    </row>
    <row r="7" spans="1:14" x14ac:dyDescent="0.25">
      <c r="A7" s="1" t="str">
        <f>IF(L8="","",MAX($A$1:$A6)+1)</f>
        <v/>
      </c>
      <c r="B7" s="107"/>
      <c r="C7" s="92"/>
      <c r="D7" s="35"/>
      <c r="E7" s="36"/>
      <c r="F7" s="36"/>
      <c r="G7" s="36"/>
      <c r="H7" s="36"/>
      <c r="I7" s="36"/>
      <c r="J7" s="36"/>
      <c r="K7" s="12"/>
      <c r="L7" s="12"/>
      <c r="M7" s="13"/>
      <c r="N7" s="13"/>
    </row>
    <row r="8" spans="1:14" x14ac:dyDescent="0.25">
      <c r="A8" s="1" t="str">
        <f>IF(L9="","",MAX($A$1:$A7)+1)</f>
        <v/>
      </c>
      <c r="B8" s="107"/>
      <c r="C8" s="84" t="s">
        <v>22</v>
      </c>
      <c r="D8" s="35"/>
      <c r="E8" s="36"/>
      <c r="F8" s="36"/>
      <c r="G8" s="36"/>
      <c r="H8" s="36"/>
      <c r="I8" s="36"/>
      <c r="J8" s="36"/>
      <c r="K8" s="12"/>
      <c r="L8" s="12"/>
      <c r="M8" s="13"/>
      <c r="N8" s="13"/>
    </row>
    <row r="9" spans="1:14" x14ac:dyDescent="0.25">
      <c r="A9" s="1" t="str">
        <f>IF(L9="","",MAX($A$1:$A8)+1)</f>
        <v/>
      </c>
      <c r="B9" s="107"/>
      <c r="C9" s="77"/>
      <c r="D9" s="35"/>
      <c r="E9" s="36"/>
      <c r="F9" s="36"/>
      <c r="G9" s="36"/>
      <c r="H9" s="36"/>
      <c r="I9" s="36"/>
      <c r="J9" s="36"/>
      <c r="K9" s="12"/>
      <c r="L9" s="12"/>
      <c r="M9" s="13"/>
      <c r="N9" s="13"/>
    </row>
    <row r="10" spans="1:14" x14ac:dyDescent="0.25">
      <c r="A10" s="1">
        <f>IF(L10="","",MAX($A$1:$A9)+1)</f>
        <v>1</v>
      </c>
      <c r="B10" s="107" t="s">
        <v>230</v>
      </c>
      <c r="C10" s="93" t="s">
        <v>117</v>
      </c>
      <c r="D10" s="35"/>
      <c r="E10" s="36"/>
      <c r="F10" s="36"/>
      <c r="G10" s="36"/>
      <c r="H10" s="36"/>
      <c r="I10" s="36"/>
      <c r="J10" s="36"/>
      <c r="K10" s="12" t="s">
        <v>7</v>
      </c>
      <c r="L10" s="15">
        <v>254</v>
      </c>
      <c r="M10" s="13"/>
      <c r="N10" s="13">
        <f>M10*L10</f>
        <v>0</v>
      </c>
    </row>
    <row r="11" spans="1:14" hidden="1" outlineLevel="1" x14ac:dyDescent="0.25">
      <c r="A11" s="1" t="str">
        <f>IF(L11="","",MAX($A$1:$A10)+1)</f>
        <v/>
      </c>
      <c r="B11" s="107"/>
      <c r="C11" s="93"/>
      <c r="D11" s="35"/>
      <c r="E11" s="36"/>
      <c r="F11" s="36"/>
      <c r="G11" s="36"/>
      <c r="H11" s="36"/>
      <c r="I11" s="36"/>
      <c r="J11" s="36"/>
      <c r="K11" s="12"/>
      <c r="L11" s="12"/>
      <c r="M11" s="13"/>
      <c r="N11" s="13"/>
    </row>
    <row r="12" spans="1:14" collapsed="1" x14ac:dyDescent="0.25">
      <c r="A12" s="1" t="str">
        <f>IF(L12="","",MAX($A$1:$A11)+1)</f>
        <v/>
      </c>
      <c r="B12" s="107"/>
      <c r="C12" s="93"/>
      <c r="D12" s="35"/>
      <c r="E12" s="36"/>
      <c r="F12" s="36"/>
      <c r="G12" s="36"/>
      <c r="H12" s="36"/>
      <c r="I12" s="36"/>
      <c r="J12" s="36"/>
      <c r="K12" s="12"/>
      <c r="L12" s="12"/>
      <c r="M12" s="13"/>
      <c r="N12" s="13"/>
    </row>
    <row r="13" spans="1:14" x14ac:dyDescent="0.25">
      <c r="A13" s="1" t="str">
        <f>IF(L13="","",MAX($A$1:$A12)+1)</f>
        <v/>
      </c>
      <c r="B13" s="107"/>
      <c r="C13" s="84" t="s">
        <v>27</v>
      </c>
      <c r="D13" s="35"/>
      <c r="E13" s="36"/>
      <c r="F13" s="36"/>
      <c r="G13" s="36"/>
      <c r="H13" s="36"/>
      <c r="I13" s="36"/>
      <c r="J13" s="36"/>
      <c r="K13" s="12"/>
      <c r="L13" s="12"/>
      <c r="M13" s="13"/>
      <c r="N13" s="13"/>
    </row>
    <row r="14" spans="1:14" x14ac:dyDescent="0.25">
      <c r="A14" s="1" t="str">
        <f>IF(L14="","",MAX($A$1:$A13)+1)</f>
        <v/>
      </c>
      <c r="B14" s="107"/>
      <c r="C14" s="84"/>
      <c r="D14" s="35"/>
      <c r="E14" s="36"/>
      <c r="F14" s="36"/>
      <c r="G14" s="36"/>
      <c r="H14" s="36"/>
      <c r="I14" s="36"/>
      <c r="J14" s="36"/>
      <c r="K14" s="12"/>
      <c r="L14" s="12"/>
      <c r="M14" s="13"/>
      <c r="N14" s="13"/>
    </row>
    <row r="15" spans="1:14" x14ac:dyDescent="0.25">
      <c r="A15" s="1" t="str">
        <f>IF(L15="","",MAX($A$1:$A14)+1)</f>
        <v/>
      </c>
      <c r="B15" s="107"/>
      <c r="C15" s="84"/>
      <c r="D15" s="35"/>
      <c r="E15" s="36"/>
      <c r="F15" s="36"/>
      <c r="G15" s="36"/>
      <c r="H15" s="36"/>
      <c r="I15" s="36"/>
      <c r="J15" s="36"/>
      <c r="K15" s="12"/>
      <c r="L15" s="12"/>
      <c r="M15" s="13"/>
      <c r="N15" s="13"/>
    </row>
    <row r="16" spans="1:14" x14ac:dyDescent="0.25">
      <c r="A16" s="1">
        <f>IF(L16="","",MAX($A$1:$A15)+1)</f>
        <v>2</v>
      </c>
      <c r="B16" s="107" t="s">
        <v>232</v>
      </c>
      <c r="C16" s="62" t="s">
        <v>276</v>
      </c>
      <c r="D16" s="50"/>
      <c r="E16" s="36"/>
      <c r="F16" s="36"/>
      <c r="G16" s="36"/>
      <c r="H16" s="36"/>
      <c r="I16" s="36"/>
      <c r="J16" s="36"/>
      <c r="K16" s="12" t="s">
        <v>5</v>
      </c>
      <c r="L16" s="15">
        <v>180</v>
      </c>
      <c r="M16" s="13"/>
      <c r="N16" s="13">
        <f t="shared" ref="N16:N28" si="0">M16*L16</f>
        <v>0</v>
      </c>
    </row>
    <row r="17" spans="1:14" hidden="1" outlineLevel="1" x14ac:dyDescent="0.25">
      <c r="A17" s="1" t="str">
        <f>IF(L17="","",MAX($A$1:$A16)+1)</f>
        <v/>
      </c>
      <c r="B17" s="107"/>
      <c r="C17" s="62"/>
      <c r="D17" s="50" t="s">
        <v>129</v>
      </c>
      <c r="E17" s="36" t="s">
        <v>18</v>
      </c>
      <c r="F17" s="36">
        <f>7+16.6+2</f>
        <v>25.6</v>
      </c>
      <c r="G17" s="36"/>
      <c r="H17" s="36"/>
      <c r="I17" s="36"/>
      <c r="J17" s="36"/>
      <c r="K17" s="12"/>
      <c r="L17" s="12"/>
      <c r="M17" s="13"/>
      <c r="N17" s="13">
        <f t="shared" si="0"/>
        <v>0</v>
      </c>
    </row>
    <row r="18" spans="1:14" hidden="1" outlineLevel="1" x14ac:dyDescent="0.25">
      <c r="A18" s="1" t="str">
        <f>IF(L18="","",MAX($A$1:$A17)+1)</f>
        <v/>
      </c>
      <c r="B18" s="107"/>
      <c r="C18" s="62"/>
      <c r="D18" s="50" t="s">
        <v>130</v>
      </c>
      <c r="E18" s="36" t="s">
        <v>18</v>
      </c>
      <c r="F18" s="36">
        <f>1.9+15+10+4</f>
        <v>30.9</v>
      </c>
      <c r="G18" s="36"/>
      <c r="H18" s="36"/>
      <c r="I18" s="36"/>
      <c r="J18" s="36"/>
      <c r="K18" s="12"/>
      <c r="L18" s="12"/>
      <c r="M18" s="13"/>
      <c r="N18" s="13">
        <f t="shared" si="0"/>
        <v>0</v>
      </c>
    </row>
    <row r="19" spans="1:14" hidden="1" outlineLevel="1" x14ac:dyDescent="0.25">
      <c r="A19" s="1" t="str">
        <f>IF(L19="","",MAX($A$1:$A18)+1)</f>
        <v/>
      </c>
      <c r="B19" s="107"/>
      <c r="C19" s="62"/>
      <c r="D19" s="50" t="s">
        <v>131</v>
      </c>
      <c r="E19" s="36" t="s">
        <v>18</v>
      </c>
      <c r="F19" s="36">
        <f>15.6+5</f>
        <v>20.6</v>
      </c>
      <c r="G19" s="36"/>
      <c r="H19" s="36"/>
      <c r="I19" s="36"/>
      <c r="J19" s="36"/>
      <c r="K19" s="12"/>
      <c r="L19" s="12"/>
      <c r="M19" s="13"/>
      <c r="N19" s="13">
        <f t="shared" si="0"/>
        <v>0</v>
      </c>
    </row>
    <row r="20" spans="1:14" hidden="1" outlineLevel="1" x14ac:dyDescent="0.25">
      <c r="A20" s="1" t="str">
        <f>IF(L20="","",MAX($A$1:$A19)+1)</f>
        <v/>
      </c>
      <c r="B20" s="107"/>
      <c r="C20" s="62"/>
      <c r="D20" s="50" t="s">
        <v>132</v>
      </c>
      <c r="E20" s="36" t="s">
        <v>18</v>
      </c>
      <c r="F20" s="36">
        <f>15.5*2+15.2+5</f>
        <v>51.2</v>
      </c>
      <c r="G20" s="36"/>
      <c r="H20" s="36"/>
      <c r="I20" s="36"/>
      <c r="J20" s="36"/>
      <c r="K20" s="12"/>
      <c r="L20" s="12"/>
      <c r="M20" s="13"/>
      <c r="N20" s="13">
        <f t="shared" si="0"/>
        <v>0</v>
      </c>
    </row>
    <row r="21" spans="1:14" hidden="1" outlineLevel="1" x14ac:dyDescent="0.25">
      <c r="A21" s="1" t="str">
        <f>IF(L21="","",MAX($A$1:$A20)+1)</f>
        <v/>
      </c>
      <c r="B21" s="107"/>
      <c r="C21" s="62"/>
      <c r="D21" s="50" t="s">
        <v>133</v>
      </c>
      <c r="E21" s="36" t="s">
        <v>18</v>
      </c>
      <c r="F21" s="36">
        <f>15.2+14.6+14.9+5</f>
        <v>49.7</v>
      </c>
      <c r="G21" s="36"/>
      <c r="H21" s="36"/>
      <c r="I21" s="36"/>
      <c r="J21" s="36"/>
      <c r="K21" s="12"/>
      <c r="L21" s="12"/>
      <c r="M21" s="13"/>
      <c r="N21" s="13">
        <f t="shared" si="0"/>
        <v>0</v>
      </c>
    </row>
    <row r="22" spans="1:14" hidden="1" outlineLevel="1" x14ac:dyDescent="0.25">
      <c r="A22" s="1" t="str">
        <f>IF(L22="","",MAX($A$1:$A21)+1)</f>
        <v/>
      </c>
      <c r="B22" s="107"/>
      <c r="C22" s="62"/>
      <c r="D22" s="50"/>
      <c r="E22" s="36" t="s">
        <v>18</v>
      </c>
      <c r="F22" s="36">
        <v>2</v>
      </c>
      <c r="G22" s="36" t="s">
        <v>18</v>
      </c>
      <c r="H22" s="36">
        <f>SUM(F17:F22)</f>
        <v>180</v>
      </c>
      <c r="I22" s="36"/>
      <c r="J22" s="36"/>
      <c r="K22" s="12"/>
      <c r="L22" s="12"/>
      <c r="M22" s="13"/>
      <c r="N22" s="13">
        <f t="shared" si="0"/>
        <v>0</v>
      </c>
    </row>
    <row r="23" spans="1:14" collapsed="1" x14ac:dyDescent="0.25">
      <c r="A23" s="1">
        <f>IF(L23="","",MAX($A$1:$A22)+1)</f>
        <v>3</v>
      </c>
      <c r="B23" s="107" t="s">
        <v>232</v>
      </c>
      <c r="C23" s="62" t="s">
        <v>134</v>
      </c>
      <c r="D23" s="50"/>
      <c r="E23" s="36"/>
      <c r="F23" s="36"/>
      <c r="G23" s="36"/>
      <c r="H23" s="36"/>
      <c r="I23" s="36"/>
      <c r="J23" s="36"/>
      <c r="K23" s="12" t="s">
        <v>1</v>
      </c>
      <c r="L23" s="12">
        <v>8</v>
      </c>
      <c r="M23" s="13"/>
      <c r="N23" s="13">
        <f t="shared" si="0"/>
        <v>0</v>
      </c>
    </row>
    <row r="24" spans="1:14" x14ac:dyDescent="0.25">
      <c r="A24" s="1">
        <f>IF(L24="","",MAX($A$1:$A23)+1)</f>
        <v>4</v>
      </c>
      <c r="B24" s="107" t="s">
        <v>232</v>
      </c>
      <c r="C24" s="62" t="s">
        <v>222</v>
      </c>
      <c r="D24" s="35"/>
      <c r="E24" s="36" t="s">
        <v>18</v>
      </c>
      <c r="F24" s="36">
        <f>(1.15+2)*2+2*(1+0.8)+2*(1.8+1.05)+2*(0.6+0.7)+2*(2.1+1.1)</f>
        <v>24.6</v>
      </c>
      <c r="G24" s="36" t="s">
        <v>19</v>
      </c>
      <c r="H24" s="36">
        <v>0.4</v>
      </c>
      <c r="I24" s="36" t="s">
        <v>18</v>
      </c>
      <c r="J24" s="36">
        <f>SUM(F24:H24)</f>
        <v>25</v>
      </c>
      <c r="K24" s="12" t="s">
        <v>5</v>
      </c>
      <c r="L24" s="15">
        <v>25</v>
      </c>
      <c r="M24" s="13"/>
      <c r="N24" s="13">
        <f t="shared" si="0"/>
        <v>0</v>
      </c>
    </row>
    <row r="25" spans="1:14" x14ac:dyDescent="0.25">
      <c r="A25" s="1">
        <f>IF(L25="","",MAX($A$1:$A24)+1)</f>
        <v>5</v>
      </c>
      <c r="B25" s="107" t="s">
        <v>232</v>
      </c>
      <c r="C25" s="62" t="s">
        <v>137</v>
      </c>
      <c r="D25" s="35"/>
      <c r="E25" s="36"/>
      <c r="F25" s="36"/>
      <c r="G25" s="36"/>
      <c r="H25" s="36"/>
      <c r="I25" s="36"/>
      <c r="J25" s="36"/>
      <c r="K25" s="12" t="s">
        <v>5</v>
      </c>
      <c r="L25" s="15">
        <v>30</v>
      </c>
      <c r="M25" s="13"/>
      <c r="N25" s="13">
        <f t="shared" si="0"/>
        <v>0</v>
      </c>
    </row>
    <row r="26" spans="1:14" hidden="1" outlineLevel="1" x14ac:dyDescent="0.25">
      <c r="A26" s="1" t="str">
        <f>IF(L26="","",MAX($A$1:$A25)+1)</f>
        <v/>
      </c>
      <c r="B26" s="107"/>
      <c r="C26" s="62"/>
      <c r="D26" s="35" t="s">
        <v>138</v>
      </c>
      <c r="E26" s="36" t="s">
        <v>18</v>
      </c>
      <c r="F26" s="36">
        <f>2*(2*1.6+1.7)</f>
        <v>9.8000000000000007</v>
      </c>
      <c r="G26" s="36"/>
      <c r="H26" s="36"/>
      <c r="I26" s="36"/>
      <c r="J26" s="36"/>
      <c r="K26" s="12"/>
      <c r="L26" s="12"/>
      <c r="M26" s="13"/>
      <c r="N26" s="13">
        <f t="shared" si="0"/>
        <v>0</v>
      </c>
    </row>
    <row r="27" spans="1:14" hidden="1" outlineLevel="1" x14ac:dyDescent="0.25">
      <c r="A27" s="1" t="str">
        <f>IF(L27="","",MAX($A$1:$A26)+1)</f>
        <v/>
      </c>
      <c r="B27" s="107"/>
      <c r="C27" s="62"/>
      <c r="D27" s="35" t="s">
        <v>120</v>
      </c>
      <c r="E27" s="36" t="s">
        <v>18</v>
      </c>
      <c r="F27" s="36">
        <f>F26</f>
        <v>9.8000000000000007</v>
      </c>
      <c r="G27" s="36"/>
      <c r="H27" s="36"/>
      <c r="I27" s="36"/>
      <c r="J27" s="36"/>
      <c r="K27" s="12"/>
      <c r="L27" s="12"/>
      <c r="M27" s="13"/>
      <c r="N27" s="13">
        <f t="shared" si="0"/>
        <v>0</v>
      </c>
    </row>
    <row r="28" spans="1:14" hidden="1" outlineLevel="1" x14ac:dyDescent="0.25">
      <c r="A28" s="1" t="str">
        <f>IF(L28="","",MAX($A$1:$A27)+1)</f>
        <v/>
      </c>
      <c r="B28" s="107"/>
      <c r="C28" s="62"/>
      <c r="D28" s="35" t="s">
        <v>139</v>
      </c>
      <c r="E28" s="36" t="s">
        <v>18</v>
      </c>
      <c r="F28" s="36">
        <f>F27</f>
        <v>9.8000000000000007</v>
      </c>
      <c r="G28" s="36"/>
      <c r="H28" s="36"/>
      <c r="I28" s="36"/>
      <c r="J28" s="36"/>
      <c r="K28" s="12"/>
      <c r="L28" s="12"/>
      <c r="M28" s="13"/>
      <c r="N28" s="13">
        <f t="shared" si="0"/>
        <v>0</v>
      </c>
    </row>
    <row r="29" spans="1:14" hidden="1" outlineLevel="1" x14ac:dyDescent="0.25">
      <c r="A29" s="1" t="str">
        <f>IF(L29="","",MAX($A$1:$A28)+1)</f>
        <v/>
      </c>
      <c r="B29" s="107"/>
      <c r="C29" s="62"/>
      <c r="D29" s="35" t="s">
        <v>121</v>
      </c>
      <c r="E29" s="36" t="s">
        <v>18</v>
      </c>
      <c r="F29" s="36">
        <f>(2*1.6+1.7)</f>
        <v>4.9000000000000004</v>
      </c>
      <c r="G29" s="36"/>
      <c r="H29" s="36"/>
      <c r="I29" s="36"/>
      <c r="J29" s="36"/>
      <c r="K29" s="12"/>
      <c r="L29" s="12"/>
      <c r="M29" s="13"/>
      <c r="N29" s="13"/>
    </row>
    <row r="30" spans="1:14" hidden="1" outlineLevel="1" x14ac:dyDescent="0.25">
      <c r="A30" s="1" t="str">
        <f>IF(L30="","",MAX($A$1:$A29)+1)</f>
        <v/>
      </c>
      <c r="B30" s="107"/>
      <c r="C30" s="62"/>
      <c r="D30" s="35"/>
      <c r="E30" s="36"/>
      <c r="F30" s="36">
        <v>0.7</v>
      </c>
      <c r="G30" s="36" t="s">
        <v>18</v>
      </c>
      <c r="H30" s="36">
        <f>SUM(F26:F30)</f>
        <v>35</v>
      </c>
      <c r="I30" s="36"/>
      <c r="J30" s="36"/>
      <c r="K30" s="12"/>
      <c r="L30" s="12"/>
      <c r="M30" s="13"/>
      <c r="N30" s="13">
        <f t="shared" ref="N30:N53" si="1">M30*L30</f>
        <v>0</v>
      </c>
    </row>
    <row r="31" spans="1:14" collapsed="1" x14ac:dyDescent="0.25">
      <c r="A31" s="1"/>
      <c r="B31" s="107"/>
      <c r="C31" s="62"/>
      <c r="D31" s="35"/>
      <c r="E31" s="36"/>
      <c r="F31" s="36"/>
      <c r="G31" s="36"/>
      <c r="H31" s="36"/>
      <c r="I31" s="36"/>
      <c r="J31" s="36"/>
      <c r="K31" s="12"/>
      <c r="L31" s="15"/>
      <c r="M31" s="13"/>
      <c r="N31" s="13"/>
    </row>
    <row r="32" spans="1:14" x14ac:dyDescent="0.25">
      <c r="A32" s="1">
        <f>IF(L32="","",MAX($A$1:$A30)+1)</f>
        <v>6</v>
      </c>
      <c r="B32" s="107" t="s">
        <v>262</v>
      </c>
      <c r="C32" s="62" t="s">
        <v>118</v>
      </c>
      <c r="D32" s="35"/>
      <c r="E32" s="36" t="s">
        <v>18</v>
      </c>
      <c r="F32" s="36">
        <f>12.1+12.3+12.5+12.45</f>
        <v>49.35</v>
      </c>
      <c r="G32" s="36" t="s">
        <v>19</v>
      </c>
      <c r="H32" s="36">
        <v>0.65</v>
      </c>
      <c r="I32" s="36" t="s">
        <v>18</v>
      </c>
      <c r="J32" s="36">
        <f>SUM(F32:H32)</f>
        <v>50</v>
      </c>
      <c r="K32" s="12" t="s">
        <v>5</v>
      </c>
      <c r="L32" s="15">
        <v>50</v>
      </c>
      <c r="M32" s="13"/>
      <c r="N32" s="13">
        <f>M32*L32</f>
        <v>0</v>
      </c>
    </row>
    <row r="33" spans="1:14" x14ac:dyDescent="0.25">
      <c r="A33" s="1">
        <f>IF(L33="","",MAX($A$1:$A32)+1)</f>
        <v>7</v>
      </c>
      <c r="B33" s="107" t="s">
        <v>262</v>
      </c>
      <c r="C33" s="76" t="s">
        <v>283</v>
      </c>
      <c r="D33" s="35"/>
      <c r="E33" s="36"/>
      <c r="F33" s="36"/>
      <c r="G33" s="36"/>
      <c r="H33" s="36"/>
      <c r="I33" s="36"/>
      <c r="J33" s="36"/>
      <c r="K33" s="12" t="s">
        <v>4</v>
      </c>
      <c r="L33" s="12">
        <v>1</v>
      </c>
      <c r="M33" s="13"/>
      <c r="N33" s="13">
        <f>M33*L33</f>
        <v>0</v>
      </c>
    </row>
    <row r="34" spans="1:14" x14ac:dyDescent="0.25">
      <c r="A34" s="1">
        <f>IF(L34="","",MAX($A$1:$A33)+1)</f>
        <v>8</v>
      </c>
      <c r="B34" s="107" t="s">
        <v>262</v>
      </c>
      <c r="C34" s="62" t="s">
        <v>119</v>
      </c>
      <c r="D34" s="35"/>
      <c r="E34" s="36"/>
      <c r="F34" s="36"/>
      <c r="G34" s="36"/>
      <c r="H34" s="36"/>
      <c r="I34" s="36"/>
      <c r="J34" s="36"/>
      <c r="K34" s="12" t="s">
        <v>7</v>
      </c>
      <c r="L34" s="15">
        <v>269</v>
      </c>
      <c r="M34" s="13"/>
      <c r="N34" s="13">
        <f>M34*L34</f>
        <v>0</v>
      </c>
    </row>
    <row r="35" spans="1:14" hidden="1" outlineLevel="1" x14ac:dyDescent="0.25">
      <c r="A35" s="1" t="str">
        <f>IF(L35="","",MAX($A$1:$A34)+1)</f>
        <v/>
      </c>
      <c r="B35" s="129"/>
      <c r="C35" s="62"/>
      <c r="D35" s="35" t="s">
        <v>120</v>
      </c>
      <c r="E35" s="36" t="s">
        <v>18</v>
      </c>
      <c r="F35" s="48">
        <f>((12.1+2.3)/2*6.1-(3.4*2.25-0.45*0.6/2+1.05*1.1+0.5*0.7+2*(1.7*0.8+1.7*1/2)))*1/COS(RADIANS(55.27))</f>
        <v>53.5</v>
      </c>
      <c r="G35" s="36"/>
      <c r="H35" s="36"/>
      <c r="I35" s="36"/>
      <c r="J35" s="36"/>
      <c r="K35" s="12"/>
      <c r="L35" s="12"/>
      <c r="M35" s="13"/>
      <c r="N35" s="13"/>
    </row>
    <row r="36" spans="1:14" hidden="1" outlineLevel="1" x14ac:dyDescent="0.25">
      <c r="A36" s="1" t="str">
        <f>IF(L36="","",MAX($A$1:$A35)+1)</f>
        <v/>
      </c>
      <c r="B36" s="129"/>
      <c r="C36" s="62"/>
      <c r="D36" s="35" t="s">
        <v>121</v>
      </c>
      <c r="E36" s="36" t="s">
        <v>18</v>
      </c>
      <c r="F36" s="48">
        <f>((12.3+2.3)/2*5.95-(1.35*1+0.35*0.6+0.3*0.6+2*(0.8*1.55+1.55*1/2)))*1/COS(RADIANS(56))</f>
        <v>67.36</v>
      </c>
      <c r="G36" s="36"/>
      <c r="H36" s="36"/>
      <c r="I36" s="36"/>
      <c r="J36" s="36"/>
      <c r="K36" s="12"/>
      <c r="L36" s="12"/>
      <c r="M36" s="13"/>
      <c r="N36" s="13"/>
    </row>
    <row r="37" spans="1:14" hidden="1" outlineLevel="1" x14ac:dyDescent="0.25">
      <c r="A37" s="1" t="str">
        <f>IF(L37="","",MAX($A$1:$A36)+1)</f>
        <v/>
      </c>
      <c r="B37" s="129"/>
      <c r="C37" s="62"/>
      <c r="D37" s="35" t="s">
        <v>122</v>
      </c>
      <c r="E37" s="36" t="s">
        <v>18</v>
      </c>
      <c r="F37" s="48">
        <f>((12.45+0.4)/2*5.1-(0.65*0.3+0.7*0.3+1.05*1.3+2*(1.7*0.5+1.7/2)))*1/COS(RADIANS(59.91))</f>
        <v>55.05</v>
      </c>
      <c r="G37" s="36"/>
      <c r="H37" s="36"/>
      <c r="I37" s="36"/>
      <c r="J37" s="36"/>
      <c r="K37" s="12"/>
      <c r="L37" s="12"/>
      <c r="M37" s="13"/>
      <c r="N37" s="13"/>
    </row>
    <row r="38" spans="1:14" hidden="1" outlineLevel="1" x14ac:dyDescent="0.25">
      <c r="A38" s="1" t="str">
        <f>IF(L38="","",MAX($A$1:$A37)+1)</f>
        <v/>
      </c>
      <c r="B38" s="129"/>
      <c r="C38" s="62"/>
      <c r="D38" s="35" t="s">
        <v>123</v>
      </c>
      <c r="E38" s="36" t="s">
        <v>18</v>
      </c>
      <c r="F38" s="48">
        <f>((12.5+0.4)/2*4.7-(0.35*0.4+0.4*0.25+0.7*0.8+2*(1.6*0.8+1.6/2)))*1/COS(RADIANS(61.9))</f>
        <v>53.83</v>
      </c>
      <c r="G38" s="36"/>
      <c r="H38" s="36"/>
      <c r="I38" s="36"/>
      <c r="J38" s="36"/>
      <c r="K38" s="12"/>
      <c r="L38" s="12"/>
      <c r="M38" s="13"/>
      <c r="N38" s="13"/>
    </row>
    <row r="39" spans="1:14" hidden="1" outlineLevel="1" x14ac:dyDescent="0.25">
      <c r="A39" s="1" t="str">
        <f>IF(L39="","",MAX($A$1:$A38)+1)</f>
        <v/>
      </c>
      <c r="B39" s="129"/>
      <c r="C39" s="62"/>
      <c r="D39" s="50" t="s">
        <v>124</v>
      </c>
      <c r="E39" s="36" t="s">
        <v>18</v>
      </c>
      <c r="F39" s="48">
        <f>2*(2*0.9*0.85*1/COS(RADIANS(43.26))+1.7*0.6/2*1/COS(RADIANS(53.13)))+2*(2*0.9*0.85*1/COS(RADIANS(43.26))+1.55*0.6/2*1/COS(RADIANS(53.13)))+2*(2*0.9*0.85*1/COS(RADIANS(43.26))+1.7*0.6/2*1/COS(RADIANS(53.13)))+2*(2*0.9*0.85*1/COS(RADIANS(43.26))+1.7*0.6/2*1/COS(RADIANS(53.13)))+8*2*(1.6*1.2/2)</f>
        <v>38.82</v>
      </c>
      <c r="G39" s="36"/>
      <c r="H39" s="36"/>
      <c r="I39" s="36"/>
      <c r="J39" s="36"/>
      <c r="K39" s="12"/>
      <c r="L39" s="12"/>
      <c r="M39" s="13"/>
      <c r="N39" s="13"/>
    </row>
    <row r="40" spans="1:14" hidden="1" outlineLevel="1" x14ac:dyDescent="0.25">
      <c r="A40" s="1" t="str">
        <f>IF(L40="","",MAX($A$1:$A39)+1)</f>
        <v/>
      </c>
      <c r="B40" s="129"/>
      <c r="C40" s="62"/>
      <c r="D40" s="35"/>
      <c r="E40" s="36"/>
      <c r="F40" s="36">
        <v>0.44</v>
      </c>
      <c r="G40" s="36" t="s">
        <v>18</v>
      </c>
      <c r="H40" s="36">
        <f>SUM(F35:F40)</f>
        <v>269</v>
      </c>
      <c r="I40" s="36"/>
      <c r="J40" s="36"/>
      <c r="K40" s="12"/>
      <c r="L40" s="12"/>
      <c r="M40" s="13"/>
      <c r="N40" s="13"/>
    </row>
    <row r="41" spans="1:14" hidden="1" outlineLevel="1" x14ac:dyDescent="0.25">
      <c r="A41" s="1" t="str">
        <f>IF(L41="","",MAX($A$1:$A40)+1)</f>
        <v/>
      </c>
      <c r="B41" s="129"/>
      <c r="C41" s="62"/>
      <c r="D41" s="35"/>
      <c r="E41" s="36"/>
      <c r="F41" s="36"/>
      <c r="G41" s="36"/>
      <c r="H41" s="36"/>
      <c r="I41" s="36"/>
      <c r="J41" s="36"/>
      <c r="K41" s="12"/>
      <c r="L41" s="12"/>
      <c r="M41" s="13"/>
      <c r="N41" s="13"/>
    </row>
    <row r="42" spans="1:14" collapsed="1" x14ac:dyDescent="0.25">
      <c r="A42" s="1">
        <f>IF(L42="","",MAX($A$1:$A40)+1)</f>
        <v>9</v>
      </c>
      <c r="B42" s="107" t="s">
        <v>262</v>
      </c>
      <c r="C42" s="62" t="s">
        <v>224</v>
      </c>
      <c r="D42" s="35" t="s">
        <v>53</v>
      </c>
      <c r="E42" s="36"/>
      <c r="F42" s="36"/>
      <c r="G42" s="36"/>
      <c r="H42" s="36"/>
      <c r="I42" s="36"/>
      <c r="J42" s="36"/>
      <c r="K42" s="12" t="s">
        <v>1</v>
      </c>
      <c r="L42" s="12">
        <v>8</v>
      </c>
      <c r="M42" s="13"/>
      <c r="N42" s="13">
        <f t="shared" ref="N42:N43" si="2">M42*L42</f>
        <v>0</v>
      </c>
    </row>
    <row r="43" spans="1:14" x14ac:dyDescent="0.25">
      <c r="A43" s="1">
        <f>IF(L43="","",MAX($A$1:$A42)+1)</f>
        <v>10</v>
      </c>
      <c r="B43" s="107" t="s">
        <v>262</v>
      </c>
      <c r="C43" s="62" t="s">
        <v>156</v>
      </c>
      <c r="D43" s="35" t="s">
        <v>157</v>
      </c>
      <c r="E43" s="36" t="s">
        <v>18</v>
      </c>
      <c r="F43" s="36">
        <f>J32</f>
        <v>50</v>
      </c>
      <c r="G43" s="36"/>
      <c r="H43" s="36"/>
      <c r="I43" s="36"/>
      <c r="J43" s="36"/>
      <c r="K43" s="12" t="s">
        <v>5</v>
      </c>
      <c r="L43" s="15">
        <v>50</v>
      </c>
      <c r="M43" s="13"/>
      <c r="N43" s="13">
        <f t="shared" si="2"/>
        <v>0</v>
      </c>
    </row>
    <row r="44" spans="1:14" x14ac:dyDescent="0.25">
      <c r="A44" s="1"/>
      <c r="B44" s="107"/>
      <c r="C44" s="62"/>
      <c r="D44" s="35"/>
      <c r="E44" s="36"/>
      <c r="F44" s="36"/>
      <c r="G44" s="36"/>
      <c r="H44" s="36"/>
      <c r="I44" s="36"/>
      <c r="J44" s="36"/>
      <c r="K44" s="12"/>
      <c r="L44" s="15"/>
      <c r="M44" s="13"/>
      <c r="N44" s="13"/>
    </row>
    <row r="45" spans="1:14" x14ac:dyDescent="0.25">
      <c r="A45" s="1">
        <f>IF(L45="","",MAX($A$1:$A43)+1)</f>
        <v>11</v>
      </c>
      <c r="B45" s="107" t="s">
        <v>241</v>
      </c>
      <c r="C45" s="62" t="s">
        <v>142</v>
      </c>
      <c r="D45" s="35" t="s">
        <v>150</v>
      </c>
      <c r="E45" s="36" t="s">
        <v>18</v>
      </c>
      <c r="F45" s="36">
        <f>H21</f>
        <v>0</v>
      </c>
      <c r="G45" s="36"/>
      <c r="H45" s="36"/>
      <c r="I45" s="36"/>
      <c r="J45" s="36"/>
      <c r="K45" s="12" t="s">
        <v>5</v>
      </c>
      <c r="L45" s="15">
        <v>180</v>
      </c>
      <c r="M45" s="13"/>
      <c r="N45" s="13">
        <f t="shared" ref="N45" si="3">M45*L45</f>
        <v>0</v>
      </c>
    </row>
    <row r="46" spans="1:14" x14ac:dyDescent="0.25">
      <c r="A46" s="1">
        <f>IF(L46="","",MAX($A$1:$A45)+1)</f>
        <v>12</v>
      </c>
      <c r="B46" s="107" t="s">
        <v>241</v>
      </c>
      <c r="C46" s="62" t="s">
        <v>277</v>
      </c>
      <c r="D46" s="35" t="s">
        <v>150</v>
      </c>
      <c r="E46" s="36" t="s">
        <v>18</v>
      </c>
      <c r="F46" s="36">
        <f>H22</f>
        <v>180</v>
      </c>
      <c r="G46" s="36"/>
      <c r="H46" s="36"/>
      <c r="I46" s="36"/>
      <c r="J46" s="36"/>
      <c r="K46" s="12" t="s">
        <v>5</v>
      </c>
      <c r="L46" s="15">
        <v>180</v>
      </c>
      <c r="M46" s="13"/>
      <c r="N46" s="13">
        <f t="shared" si="1"/>
        <v>0</v>
      </c>
    </row>
    <row r="47" spans="1:14" x14ac:dyDescent="0.25">
      <c r="A47" s="1">
        <f>IF(L47="","",MAX($A$1:$A46)+1)</f>
        <v>13</v>
      </c>
      <c r="B47" s="107" t="s">
        <v>261</v>
      </c>
      <c r="C47" s="62" t="s">
        <v>275</v>
      </c>
      <c r="D47" s="35" t="s">
        <v>141</v>
      </c>
      <c r="E47" s="36" t="s">
        <v>18</v>
      </c>
      <c r="F47" s="36">
        <f>13.1+13.6+13.5*2</f>
        <v>53.7</v>
      </c>
      <c r="G47" s="36" t="s">
        <v>19</v>
      </c>
      <c r="H47" s="36">
        <v>0.3</v>
      </c>
      <c r="I47" s="36" t="s">
        <v>18</v>
      </c>
      <c r="J47" s="36">
        <f>SUM(F47:H47)</f>
        <v>54</v>
      </c>
      <c r="K47" s="12" t="s">
        <v>5</v>
      </c>
      <c r="L47" s="15">
        <v>54</v>
      </c>
      <c r="M47" s="13"/>
      <c r="N47" s="13">
        <f t="shared" ref="N47" si="4">M47*L47</f>
        <v>0</v>
      </c>
    </row>
    <row r="48" spans="1:14" x14ac:dyDescent="0.25">
      <c r="A48" s="1">
        <f>IF(L48="","",MAX($A$1:$A47)+1)</f>
        <v>14</v>
      </c>
      <c r="B48" s="107" t="s">
        <v>258</v>
      </c>
      <c r="C48" s="62" t="s">
        <v>247</v>
      </c>
      <c r="D48" s="35" t="s">
        <v>152</v>
      </c>
      <c r="E48" s="36" t="s">
        <v>18</v>
      </c>
      <c r="F48" s="36">
        <f>J24</f>
        <v>25</v>
      </c>
      <c r="G48" s="36"/>
      <c r="H48" s="36"/>
      <c r="I48" s="36"/>
      <c r="J48" s="36"/>
      <c r="K48" s="12" t="s">
        <v>5</v>
      </c>
      <c r="L48" s="15">
        <v>25</v>
      </c>
      <c r="M48" s="13"/>
      <c r="N48" s="13">
        <f t="shared" si="1"/>
        <v>0</v>
      </c>
    </row>
    <row r="49" spans="1:14" ht="22.5" x14ac:dyDescent="0.25">
      <c r="A49" s="1">
        <f>IF(L49="","",MAX($A$1:$A48)+1)</f>
        <v>15</v>
      </c>
      <c r="B49" s="107" t="s">
        <v>258</v>
      </c>
      <c r="C49" s="62" t="s">
        <v>154</v>
      </c>
      <c r="D49" s="35" t="s">
        <v>155</v>
      </c>
      <c r="E49" s="36" t="s">
        <v>18</v>
      </c>
      <c r="F49" s="36">
        <f>H30</f>
        <v>35</v>
      </c>
      <c r="G49" s="36"/>
      <c r="H49" s="36"/>
      <c r="I49" s="36"/>
      <c r="J49" s="36"/>
      <c r="K49" s="12" t="s">
        <v>5</v>
      </c>
      <c r="L49" s="15">
        <v>35</v>
      </c>
      <c r="M49" s="13"/>
      <c r="N49" s="13">
        <f t="shared" si="1"/>
        <v>0</v>
      </c>
    </row>
    <row r="50" spans="1:14" x14ac:dyDescent="0.25">
      <c r="A50" s="1">
        <f>IF(L50="","",MAX($A$1:$A49)+1)</f>
        <v>16</v>
      </c>
      <c r="B50" s="107" t="s">
        <v>252</v>
      </c>
      <c r="C50" s="62" t="s">
        <v>143</v>
      </c>
      <c r="D50" s="35"/>
      <c r="E50" s="36" t="s">
        <v>18</v>
      </c>
      <c r="F50" s="66">
        <f>8*2*1.4*0.2*0.2</f>
        <v>0.89600000000000002</v>
      </c>
      <c r="G50" s="36" t="s">
        <v>19</v>
      </c>
      <c r="H50" s="36">
        <v>4.0000000000000001E-3</v>
      </c>
      <c r="I50" s="36" t="s">
        <v>18</v>
      </c>
      <c r="J50" s="66">
        <f>SUM(F50:H50)</f>
        <v>0.9</v>
      </c>
      <c r="K50" s="12" t="s">
        <v>90</v>
      </c>
      <c r="L50" s="78">
        <v>0.9</v>
      </c>
      <c r="M50" s="13"/>
      <c r="N50" s="13">
        <f t="shared" ref="N50:N51" si="5">M50*L50</f>
        <v>0</v>
      </c>
    </row>
    <row r="51" spans="1:14" x14ac:dyDescent="0.25">
      <c r="A51" s="1">
        <f>IF(L51="","",MAX($A$1:$A50)+1)</f>
        <v>17</v>
      </c>
      <c r="B51" s="12" t="s">
        <v>266</v>
      </c>
      <c r="C51" s="81" t="s">
        <v>284</v>
      </c>
      <c r="D51" s="35" t="s">
        <v>214</v>
      </c>
      <c r="E51" s="36"/>
      <c r="F51" s="36"/>
      <c r="G51" s="36"/>
      <c r="H51" s="36"/>
      <c r="I51" s="36"/>
      <c r="J51" s="36"/>
      <c r="K51" s="12" t="s">
        <v>4</v>
      </c>
      <c r="L51" s="12">
        <v>1</v>
      </c>
      <c r="M51" s="13"/>
      <c r="N51" s="13">
        <f t="shared" si="5"/>
        <v>0</v>
      </c>
    </row>
    <row r="52" spans="1:14" x14ac:dyDescent="0.25">
      <c r="A52" s="1">
        <f>IF(L52="","",MAX($A$1:$A50)+1)</f>
        <v>17</v>
      </c>
      <c r="B52" s="107" t="s">
        <v>266</v>
      </c>
      <c r="C52" s="62" t="s">
        <v>286</v>
      </c>
      <c r="D52" s="35" t="s">
        <v>158</v>
      </c>
      <c r="E52" s="36" t="s">
        <v>18</v>
      </c>
      <c r="F52" s="36">
        <f>12.4</f>
        <v>12.4</v>
      </c>
      <c r="G52" s="36" t="s">
        <v>19</v>
      </c>
      <c r="H52" s="36">
        <v>0.1</v>
      </c>
      <c r="I52" s="36" t="s">
        <v>18</v>
      </c>
      <c r="J52" s="36">
        <f>SUM(F52:H52)</f>
        <v>12.5</v>
      </c>
      <c r="K52" s="12" t="s">
        <v>5</v>
      </c>
      <c r="L52" s="15">
        <v>12.5</v>
      </c>
      <c r="M52" s="13"/>
      <c r="N52" s="13">
        <f t="shared" si="1"/>
        <v>0</v>
      </c>
    </row>
    <row r="53" spans="1:14" x14ac:dyDescent="0.25">
      <c r="A53" s="1">
        <f>IF(L53="","",MAX($A$1:$A52)+1)</f>
        <v>18</v>
      </c>
      <c r="B53" s="107" t="s">
        <v>278</v>
      </c>
      <c r="C53" s="62" t="s">
        <v>273</v>
      </c>
      <c r="D53" s="35" t="s">
        <v>159</v>
      </c>
      <c r="E53" s="36"/>
      <c r="F53" s="36"/>
      <c r="G53" s="36"/>
      <c r="H53" s="36"/>
      <c r="I53" s="36"/>
      <c r="J53" s="36"/>
      <c r="K53" s="12" t="s">
        <v>1</v>
      </c>
      <c r="L53" s="12">
        <v>8</v>
      </c>
      <c r="M53" s="13"/>
      <c r="N53" s="13">
        <f t="shared" si="1"/>
        <v>0</v>
      </c>
    </row>
    <row r="54" spans="1:14" x14ac:dyDescent="0.25">
      <c r="A54" s="1" t="str">
        <f>IF(L54="","",MAX($A$1:$A53)+1)</f>
        <v/>
      </c>
      <c r="B54" s="107"/>
      <c r="C54" s="62"/>
      <c r="D54" s="35"/>
      <c r="E54" s="36"/>
      <c r="F54" s="36"/>
      <c r="G54" s="36"/>
      <c r="H54" s="36"/>
      <c r="I54" s="36"/>
      <c r="J54" s="36"/>
      <c r="K54" s="12"/>
      <c r="L54" s="12"/>
      <c r="M54" s="13"/>
      <c r="N54" s="13"/>
    </row>
    <row r="55" spans="1:14" x14ac:dyDescent="0.25">
      <c r="A55" s="1" t="str">
        <f>IF(L55="","",MAX($A$1:$A54)+1)</f>
        <v/>
      </c>
      <c r="B55" s="107" t="s">
        <v>237</v>
      </c>
      <c r="C55" s="77" t="s">
        <v>239</v>
      </c>
      <c r="D55" s="35" t="s">
        <v>160</v>
      </c>
      <c r="E55" s="36"/>
      <c r="F55" s="36"/>
      <c r="G55" s="36"/>
      <c r="H55" s="36"/>
      <c r="I55" s="36"/>
      <c r="J55" s="36"/>
      <c r="K55" s="12"/>
      <c r="L55" s="12"/>
      <c r="M55" s="13"/>
      <c r="N55" s="13"/>
    </row>
    <row r="56" spans="1:14" x14ac:dyDescent="0.25">
      <c r="A56" s="1">
        <f>IF(L56="","",MAX($A$1:$A55)+1)</f>
        <v>19</v>
      </c>
      <c r="B56" s="107" t="s">
        <v>234</v>
      </c>
      <c r="C56" s="71" t="s">
        <v>161</v>
      </c>
      <c r="D56" s="35" t="s">
        <v>162</v>
      </c>
      <c r="E56" s="36" t="s">
        <v>18</v>
      </c>
      <c r="F56" s="36">
        <f>4+5.5</f>
        <v>9.5</v>
      </c>
      <c r="G56" s="36" t="s">
        <v>19</v>
      </c>
      <c r="H56" s="36">
        <v>0.5</v>
      </c>
      <c r="I56" s="36" t="s">
        <v>18</v>
      </c>
      <c r="J56" s="36">
        <f>SUM(F56:H56)</f>
        <v>10</v>
      </c>
      <c r="K56" s="12" t="s">
        <v>5</v>
      </c>
      <c r="L56" s="15">
        <v>10</v>
      </c>
      <c r="M56" s="13"/>
      <c r="N56" s="13">
        <f>M56*L56</f>
        <v>0</v>
      </c>
    </row>
    <row r="57" spans="1:14" x14ac:dyDescent="0.25">
      <c r="A57" s="1">
        <f>IF(L57="","",MAX($A$1:$A56)+1)</f>
        <v>20</v>
      </c>
      <c r="B57" s="107" t="s">
        <v>234</v>
      </c>
      <c r="C57" s="71" t="s">
        <v>163</v>
      </c>
      <c r="D57" s="35"/>
      <c r="E57" s="36"/>
      <c r="F57" s="36"/>
      <c r="G57" s="36"/>
      <c r="H57" s="36"/>
      <c r="I57" s="36"/>
      <c r="J57" s="36"/>
      <c r="K57" s="12" t="s">
        <v>5</v>
      </c>
      <c r="L57" s="15">
        <v>10</v>
      </c>
      <c r="M57" s="13"/>
      <c r="N57" s="13">
        <f>M57*L57</f>
        <v>0</v>
      </c>
    </row>
    <row r="58" spans="1:14" x14ac:dyDescent="0.25">
      <c r="A58" s="1">
        <f>IF(L58="","",MAX($A$1:$A57)+1)</f>
        <v>21</v>
      </c>
      <c r="B58" s="38" t="s">
        <v>235</v>
      </c>
      <c r="C58" s="46" t="s">
        <v>287</v>
      </c>
      <c r="D58" s="35"/>
      <c r="E58" s="36"/>
      <c r="F58" s="36"/>
      <c r="G58" s="36"/>
      <c r="H58" s="36"/>
      <c r="I58" s="36"/>
      <c r="J58" s="37"/>
      <c r="K58" s="38" t="s">
        <v>5</v>
      </c>
      <c r="L58" s="43">
        <v>10</v>
      </c>
      <c r="M58" s="39"/>
      <c r="N58" s="26">
        <f>M58*L58</f>
        <v>0</v>
      </c>
    </row>
    <row r="59" spans="1:14" x14ac:dyDescent="0.25">
      <c r="A59" s="1" t="str">
        <f>IF(L59="","",MAX($A$1:$A57)+1)</f>
        <v/>
      </c>
      <c r="B59" s="107"/>
      <c r="C59" s="84"/>
      <c r="D59" s="35"/>
      <c r="E59" s="36"/>
      <c r="F59" s="36"/>
      <c r="G59" s="36"/>
      <c r="H59" s="36"/>
      <c r="I59" s="36"/>
      <c r="J59" s="36"/>
      <c r="K59" s="12"/>
      <c r="L59" s="12"/>
      <c r="M59" s="13"/>
      <c r="N59" s="13"/>
    </row>
    <row r="60" spans="1:14" x14ac:dyDescent="0.25">
      <c r="A60" s="1">
        <f>IF(L60="","",MAX($A$1:$A59)+1)</f>
        <v>22</v>
      </c>
      <c r="B60" s="38" t="s">
        <v>238</v>
      </c>
      <c r="C60" s="41" t="s">
        <v>274</v>
      </c>
      <c r="D60" s="35"/>
      <c r="E60" s="36"/>
      <c r="F60" s="36"/>
      <c r="G60" s="36"/>
      <c r="H60" s="36"/>
      <c r="I60" s="36"/>
      <c r="J60" s="37"/>
      <c r="K60" s="38" t="s">
        <v>4</v>
      </c>
      <c r="L60" s="38">
        <v>1</v>
      </c>
      <c r="M60" s="39"/>
      <c r="N60" s="26">
        <f t="shared" ref="N60" si="6">M60*L60</f>
        <v>0</v>
      </c>
    </row>
    <row r="61" spans="1:14" x14ac:dyDescent="0.25">
      <c r="A61" s="1" t="str">
        <f>IF(L61="","",MAX($A$1:$A59)+1)</f>
        <v/>
      </c>
      <c r="B61" s="38"/>
      <c r="C61" s="72"/>
      <c r="D61" s="35"/>
      <c r="E61" s="36"/>
      <c r="F61" s="36"/>
      <c r="G61" s="36"/>
      <c r="H61" s="36"/>
      <c r="I61" s="36"/>
      <c r="J61" s="37"/>
      <c r="K61" s="38"/>
      <c r="L61" s="38"/>
      <c r="M61" s="39"/>
      <c r="N61" s="26"/>
    </row>
    <row r="62" spans="1:14" x14ac:dyDescent="0.25">
      <c r="A62" s="1" t="str">
        <f>IF(L62="","",MAX($A$1:$A61)+1)</f>
        <v/>
      </c>
      <c r="B62" s="107"/>
      <c r="C62" s="92"/>
      <c r="D62" s="35"/>
      <c r="E62" s="36"/>
      <c r="F62" s="36"/>
      <c r="G62" s="36"/>
      <c r="H62" s="36"/>
      <c r="I62" s="36"/>
      <c r="J62" s="36"/>
      <c r="K62" s="12"/>
      <c r="L62" s="12"/>
      <c r="M62" s="13"/>
      <c r="N62" s="13"/>
    </row>
    <row r="63" spans="1:14" x14ac:dyDescent="0.25">
      <c r="A63" s="1" t="str">
        <f>IF(L63="","",MAX($A$1:$A62)+1)</f>
        <v/>
      </c>
      <c r="B63" s="107"/>
      <c r="C63" s="92"/>
      <c r="D63" s="35"/>
      <c r="E63" s="36"/>
      <c r="F63" s="36"/>
      <c r="G63" s="36"/>
      <c r="H63" s="36"/>
      <c r="I63" s="36"/>
      <c r="J63" s="36"/>
      <c r="K63" s="12"/>
      <c r="L63" s="12"/>
      <c r="M63" s="13"/>
      <c r="N63" s="13"/>
    </row>
    <row r="64" spans="1:14" x14ac:dyDescent="0.25">
      <c r="A64" s="1" t="str">
        <f>IF(L64="","",MAX($A$1:$A63)+1)</f>
        <v/>
      </c>
      <c r="B64" s="107"/>
      <c r="C64" s="146" t="s">
        <v>294</v>
      </c>
      <c r="D64" s="147"/>
      <c r="E64" s="147"/>
      <c r="F64" s="147"/>
      <c r="G64" s="147"/>
      <c r="H64" s="147"/>
      <c r="I64" s="147"/>
      <c r="J64" s="147"/>
      <c r="K64" s="147"/>
      <c r="L64" s="147"/>
      <c r="M64" s="148"/>
      <c r="N64" s="79">
        <f>SUM(N10:N62)</f>
        <v>0</v>
      </c>
    </row>
    <row r="65" spans="1:14" x14ac:dyDescent="0.25">
      <c r="A65" s="1" t="str">
        <f>IF(L65="","",MAX($A$1:$A64)+1)</f>
        <v/>
      </c>
      <c r="B65" s="107"/>
      <c r="C65" s="149" t="s">
        <v>14</v>
      </c>
      <c r="D65" s="150"/>
      <c r="E65" s="150"/>
      <c r="F65" s="150"/>
      <c r="G65" s="150"/>
      <c r="H65" s="150"/>
      <c r="I65" s="150"/>
      <c r="J65" s="150"/>
      <c r="K65" s="150"/>
      <c r="L65" s="150"/>
      <c r="M65" s="151"/>
      <c r="N65" s="80">
        <f>0.2*N64</f>
        <v>0</v>
      </c>
    </row>
    <row r="66" spans="1:14" x14ac:dyDescent="0.25">
      <c r="A66" s="11"/>
      <c r="B66" s="107"/>
      <c r="C66" s="152" t="s">
        <v>295</v>
      </c>
      <c r="D66" s="153"/>
      <c r="E66" s="153"/>
      <c r="F66" s="153"/>
      <c r="G66" s="153"/>
      <c r="H66" s="153"/>
      <c r="I66" s="153"/>
      <c r="J66" s="153"/>
      <c r="K66" s="153"/>
      <c r="L66" s="153"/>
      <c r="M66" s="154"/>
      <c r="N66" s="118">
        <f>N65+N64</f>
        <v>0</v>
      </c>
    </row>
    <row r="67" spans="1:14" x14ac:dyDescent="0.25">
      <c r="A67" s="113"/>
      <c r="B67" s="126"/>
      <c r="C67" s="114"/>
      <c r="D67" s="115"/>
      <c r="E67" s="116"/>
      <c r="F67" s="116"/>
      <c r="G67" s="116"/>
      <c r="H67" s="116"/>
      <c r="I67" s="116"/>
      <c r="J67" s="116"/>
      <c r="K67" s="110"/>
      <c r="L67" s="110"/>
      <c r="M67" s="117"/>
      <c r="N67" s="117"/>
    </row>
    <row r="68" spans="1:14" x14ac:dyDescent="0.25">
      <c r="A68" s="11"/>
      <c r="B68" s="107"/>
      <c r="C68" s="92"/>
      <c r="D68" s="35"/>
      <c r="E68" s="36"/>
      <c r="F68" s="36"/>
      <c r="G68" s="36"/>
      <c r="H68" s="36"/>
      <c r="I68" s="36"/>
      <c r="J68" s="36"/>
      <c r="K68" s="12"/>
      <c r="L68" s="12"/>
      <c r="M68" s="13"/>
      <c r="N68" s="13"/>
    </row>
    <row r="69" spans="1:14" x14ac:dyDescent="0.25">
      <c r="A69" s="11"/>
      <c r="B69" s="107"/>
      <c r="C69" s="92"/>
      <c r="D69" s="35"/>
      <c r="E69" s="36"/>
      <c r="F69" s="36"/>
      <c r="G69" s="36"/>
      <c r="H69" s="36"/>
      <c r="I69" s="36"/>
      <c r="J69" s="36"/>
      <c r="K69" s="12"/>
      <c r="L69" s="12"/>
      <c r="M69" s="13"/>
      <c r="N69" s="13"/>
    </row>
    <row r="70" spans="1:14" x14ac:dyDescent="0.25">
      <c r="A70" s="11"/>
      <c r="B70" s="107"/>
      <c r="C70" s="92"/>
      <c r="D70" s="35"/>
      <c r="E70" s="36"/>
      <c r="F70" s="36"/>
      <c r="G70" s="36"/>
      <c r="H70" s="36"/>
      <c r="I70" s="36"/>
      <c r="J70" s="36"/>
      <c r="K70" s="12"/>
      <c r="L70" s="12"/>
      <c r="M70" s="13"/>
      <c r="N70" s="13"/>
    </row>
    <row r="71" spans="1:14" x14ac:dyDescent="0.25">
      <c r="A71" s="11"/>
      <c r="B71" s="107"/>
      <c r="C71" s="92"/>
      <c r="D71" s="35"/>
      <c r="E71" s="36"/>
      <c r="F71" s="36"/>
      <c r="G71" s="36"/>
      <c r="H71" s="36"/>
      <c r="I71" s="36"/>
      <c r="J71" s="36"/>
      <c r="K71" s="12"/>
      <c r="L71" s="12"/>
      <c r="M71" s="13"/>
      <c r="N71" s="13"/>
    </row>
    <row r="72" spans="1:14" x14ac:dyDescent="0.25">
      <c r="A72" s="11"/>
      <c r="B72" s="107"/>
      <c r="C72" s="92"/>
      <c r="D72" s="35"/>
      <c r="E72" s="36"/>
      <c r="F72" s="36"/>
      <c r="G72" s="36"/>
      <c r="H72" s="36"/>
      <c r="I72" s="36"/>
      <c r="J72" s="36"/>
      <c r="K72" s="12"/>
      <c r="L72" s="12"/>
      <c r="M72" s="13"/>
      <c r="N72" s="13"/>
    </row>
    <row r="73" spans="1:14" x14ac:dyDescent="0.25">
      <c r="A73" s="11"/>
      <c r="B73" s="107"/>
      <c r="C73" s="92"/>
      <c r="D73" s="35"/>
      <c r="E73" s="36"/>
      <c r="F73" s="36"/>
      <c r="G73" s="36"/>
      <c r="H73" s="36"/>
      <c r="I73" s="36"/>
      <c r="J73" s="36"/>
      <c r="K73" s="12"/>
      <c r="L73" s="12"/>
      <c r="M73" s="13"/>
      <c r="N73" s="13"/>
    </row>
    <row r="74" spans="1:14" x14ac:dyDescent="0.25">
      <c r="A74" s="11"/>
      <c r="B74" s="107"/>
      <c r="C74" s="92"/>
      <c r="D74" s="35"/>
      <c r="E74" s="36"/>
      <c r="F74" s="36"/>
      <c r="G74" s="36"/>
      <c r="H74" s="36"/>
      <c r="I74" s="36"/>
      <c r="J74" s="36"/>
      <c r="K74" s="12"/>
      <c r="L74" s="12"/>
      <c r="M74" s="13"/>
      <c r="N74" s="13"/>
    </row>
    <row r="75" spans="1:14" x14ac:dyDescent="0.25">
      <c r="A75" s="11"/>
      <c r="B75" s="107"/>
      <c r="C75" s="92"/>
      <c r="D75" s="35"/>
      <c r="E75" s="36"/>
      <c r="F75" s="36"/>
      <c r="G75" s="36"/>
      <c r="H75" s="36"/>
      <c r="I75" s="36"/>
      <c r="J75" s="36"/>
      <c r="K75" s="12"/>
      <c r="L75" s="12"/>
      <c r="M75" s="13"/>
      <c r="N75" s="13"/>
    </row>
    <row r="76" spans="1:14" x14ac:dyDescent="0.25">
      <c r="A76" s="11"/>
      <c r="B76" s="107"/>
      <c r="C76" s="92"/>
      <c r="D76" s="35"/>
      <c r="E76" s="36"/>
      <c r="F76" s="36"/>
      <c r="G76" s="36"/>
      <c r="H76" s="36"/>
      <c r="I76" s="36"/>
      <c r="J76" s="36"/>
      <c r="K76" s="12"/>
      <c r="L76" s="12"/>
      <c r="M76" s="13"/>
      <c r="N76" s="13"/>
    </row>
    <row r="77" spans="1:14" x14ac:dyDescent="0.25">
      <c r="A77" s="11"/>
      <c r="B77" s="107"/>
      <c r="C77" s="92"/>
      <c r="D77" s="35"/>
      <c r="E77" s="36"/>
      <c r="F77" s="36"/>
      <c r="G77" s="36"/>
      <c r="H77" s="36"/>
      <c r="I77" s="36"/>
      <c r="J77" s="36"/>
      <c r="K77" s="12"/>
      <c r="L77" s="12"/>
      <c r="M77" s="13"/>
      <c r="N77" s="13"/>
    </row>
    <row r="78" spans="1:14" x14ac:dyDescent="0.25">
      <c r="A78" s="11"/>
      <c r="B78" s="107"/>
      <c r="C78" s="92"/>
      <c r="D78" s="35"/>
      <c r="E78" s="36"/>
      <c r="F78" s="36"/>
      <c r="G78" s="36"/>
      <c r="H78" s="36"/>
      <c r="I78" s="36"/>
      <c r="J78" s="36"/>
      <c r="K78" s="12"/>
      <c r="L78" s="12"/>
      <c r="M78" s="13"/>
      <c r="N78" s="13"/>
    </row>
    <row r="79" spans="1:14" x14ac:dyDescent="0.25">
      <c r="A79" s="11"/>
      <c r="B79" s="107"/>
      <c r="C79" s="92"/>
      <c r="D79" s="35"/>
      <c r="E79" s="36"/>
      <c r="F79" s="36"/>
      <c r="G79" s="36"/>
      <c r="H79" s="36"/>
      <c r="I79" s="36"/>
      <c r="J79" s="36"/>
      <c r="K79" s="12"/>
      <c r="L79" s="12"/>
      <c r="M79" s="13"/>
      <c r="N79" s="13"/>
    </row>
    <row r="80" spans="1:14" x14ac:dyDescent="0.25">
      <c r="A80" s="11"/>
      <c r="B80" s="107"/>
      <c r="C80" s="92"/>
      <c r="D80" s="35"/>
      <c r="E80" s="36"/>
      <c r="F80" s="36"/>
      <c r="G80" s="36"/>
      <c r="H80" s="36"/>
      <c r="I80" s="36"/>
      <c r="J80" s="36"/>
      <c r="K80" s="12"/>
      <c r="L80" s="12"/>
      <c r="M80" s="13"/>
      <c r="N80" s="13"/>
    </row>
    <row r="81" spans="1:14" x14ac:dyDescent="0.25">
      <c r="A81" s="11"/>
      <c r="B81" s="107"/>
      <c r="C81" s="92"/>
      <c r="D81" s="35"/>
      <c r="E81" s="36"/>
      <c r="F81" s="36"/>
      <c r="G81" s="36"/>
      <c r="H81" s="36"/>
      <c r="I81" s="36"/>
      <c r="J81" s="36"/>
      <c r="K81" s="12"/>
      <c r="L81" s="12"/>
      <c r="M81" s="13"/>
      <c r="N81" s="13"/>
    </row>
    <row r="82" spans="1:14" x14ac:dyDescent="0.25">
      <c r="A82" s="11"/>
      <c r="B82" s="107"/>
      <c r="C82" s="92"/>
      <c r="D82" s="35"/>
      <c r="E82" s="36"/>
      <c r="F82" s="36"/>
      <c r="G82" s="36"/>
      <c r="H82" s="36"/>
      <c r="I82" s="36"/>
      <c r="J82" s="36"/>
      <c r="K82" s="12"/>
      <c r="L82" s="12"/>
      <c r="M82" s="13"/>
      <c r="N82" s="13"/>
    </row>
    <row r="83" spans="1:14" x14ac:dyDescent="0.25">
      <c r="A83" s="11"/>
      <c r="B83" s="107"/>
      <c r="C83" s="92"/>
      <c r="D83" s="35"/>
      <c r="E83" s="36"/>
      <c r="F83" s="36"/>
      <c r="G83" s="36"/>
      <c r="H83" s="36"/>
      <c r="I83" s="36"/>
      <c r="J83" s="36"/>
      <c r="K83" s="12"/>
      <c r="L83" s="12"/>
      <c r="M83" s="13"/>
      <c r="N83" s="13"/>
    </row>
    <row r="84" spans="1:14" x14ac:dyDescent="0.25">
      <c r="A84" s="11"/>
      <c r="B84" s="107"/>
      <c r="C84" s="92"/>
      <c r="D84" s="35"/>
      <c r="E84" s="36"/>
      <c r="F84" s="36"/>
      <c r="G84" s="36"/>
      <c r="H84" s="36"/>
      <c r="I84" s="36"/>
      <c r="J84" s="36"/>
      <c r="K84" s="12"/>
      <c r="L84" s="12"/>
      <c r="M84" s="13"/>
      <c r="N84" s="13"/>
    </row>
    <row r="85" spans="1:14" x14ac:dyDescent="0.25">
      <c r="A85" s="11"/>
      <c r="B85" s="107"/>
      <c r="C85" s="92"/>
      <c r="D85" s="35"/>
      <c r="E85" s="36"/>
      <c r="F85" s="36"/>
      <c r="G85" s="36"/>
      <c r="H85" s="36"/>
      <c r="I85" s="36"/>
      <c r="J85" s="36"/>
      <c r="K85" s="12"/>
      <c r="L85" s="12"/>
      <c r="M85" s="13"/>
      <c r="N85" s="13"/>
    </row>
    <row r="86" spans="1:14" x14ac:dyDescent="0.25">
      <c r="A86" s="11"/>
      <c r="B86" s="107"/>
      <c r="C86" s="92"/>
      <c r="D86" s="35"/>
      <c r="E86" s="36"/>
      <c r="F86" s="36"/>
      <c r="G86" s="36"/>
      <c r="H86" s="36"/>
      <c r="I86" s="36"/>
      <c r="J86" s="36"/>
      <c r="K86" s="12"/>
      <c r="L86" s="12"/>
      <c r="M86" s="13"/>
      <c r="N86" s="13"/>
    </row>
    <row r="87" spans="1:14" x14ac:dyDescent="0.25">
      <c r="A87" s="11"/>
      <c r="B87" s="107"/>
      <c r="C87" s="92"/>
      <c r="D87" s="35"/>
      <c r="E87" s="36"/>
      <c r="F87" s="36"/>
      <c r="G87" s="36"/>
      <c r="H87" s="36"/>
      <c r="I87" s="36"/>
      <c r="J87" s="36"/>
      <c r="K87" s="12"/>
      <c r="L87" s="12"/>
      <c r="M87" s="13"/>
      <c r="N87" s="13"/>
    </row>
    <row r="88" spans="1:14" x14ac:dyDescent="0.25">
      <c r="A88" s="11"/>
      <c r="B88" s="107"/>
      <c r="C88" s="92"/>
      <c r="D88" s="35"/>
      <c r="E88" s="36"/>
      <c r="F88" s="36"/>
      <c r="G88" s="36"/>
      <c r="H88" s="36"/>
      <c r="I88" s="36"/>
      <c r="J88" s="36"/>
      <c r="K88" s="12"/>
      <c r="L88" s="12"/>
      <c r="M88" s="13"/>
      <c r="N88" s="13"/>
    </row>
    <row r="89" spans="1:14" x14ac:dyDescent="0.25">
      <c r="A89" s="11"/>
      <c r="B89" s="107"/>
      <c r="C89" s="92"/>
      <c r="D89" s="35"/>
      <c r="E89" s="36"/>
      <c r="F89" s="36"/>
      <c r="G89" s="36"/>
      <c r="H89" s="36"/>
      <c r="I89" s="36"/>
      <c r="J89" s="36"/>
      <c r="K89" s="12"/>
      <c r="L89" s="12"/>
      <c r="M89" s="13">
        <v>150</v>
      </c>
      <c r="N89" s="13"/>
    </row>
    <row r="90" spans="1:14" x14ac:dyDescent="0.25">
      <c r="A90" s="11"/>
      <c r="B90" s="107"/>
      <c r="C90" s="92"/>
      <c r="D90" s="35"/>
      <c r="E90" s="36"/>
      <c r="F90" s="36"/>
      <c r="G90" s="36"/>
      <c r="H90" s="36"/>
      <c r="I90" s="36"/>
      <c r="J90" s="36"/>
      <c r="K90" s="12"/>
      <c r="L90" s="12"/>
      <c r="M90" s="13"/>
      <c r="N90" s="13"/>
    </row>
    <row r="91" spans="1:14" x14ac:dyDescent="0.25">
      <c r="A91" s="11"/>
      <c r="B91" s="107"/>
      <c r="C91" s="92"/>
      <c r="D91" s="35"/>
      <c r="E91" s="36"/>
      <c r="F91" s="36"/>
      <c r="G91" s="36"/>
      <c r="H91" s="36"/>
      <c r="I91" s="36"/>
      <c r="J91" s="36"/>
      <c r="K91" s="12"/>
      <c r="L91" s="12"/>
      <c r="M91" s="13"/>
      <c r="N91" s="13"/>
    </row>
    <row r="92" spans="1:14" x14ac:dyDescent="0.25">
      <c r="A92" s="11"/>
      <c r="B92" s="107"/>
      <c r="C92" s="92"/>
      <c r="D92" s="35"/>
      <c r="E92" s="36"/>
      <c r="F92" s="36"/>
      <c r="G92" s="36"/>
      <c r="H92" s="36"/>
      <c r="I92" s="36"/>
      <c r="J92" s="36"/>
      <c r="K92" s="12"/>
      <c r="L92" s="12"/>
      <c r="M92" s="13"/>
      <c r="N92" s="13"/>
    </row>
    <row r="93" spans="1:14" x14ac:dyDescent="0.25">
      <c r="A93" s="11"/>
      <c r="B93" s="107"/>
      <c r="C93" s="92"/>
      <c r="D93" s="35"/>
      <c r="E93" s="36"/>
      <c r="F93" s="36"/>
      <c r="G93" s="36"/>
      <c r="H93" s="36"/>
      <c r="I93" s="36"/>
      <c r="J93" s="36"/>
      <c r="K93" s="12"/>
      <c r="L93" s="12"/>
      <c r="M93" s="13"/>
      <c r="N93" s="13"/>
    </row>
    <row r="94" spans="1:14" x14ac:dyDescent="0.25">
      <c r="A94" s="11"/>
      <c r="B94" s="107"/>
      <c r="C94" s="92"/>
      <c r="D94" s="35"/>
      <c r="E94" s="36"/>
      <c r="F94" s="36"/>
      <c r="G94" s="36"/>
      <c r="H94" s="36"/>
      <c r="I94" s="36"/>
      <c r="J94" s="36"/>
      <c r="K94" s="12"/>
      <c r="L94" s="12"/>
      <c r="M94" s="13"/>
      <c r="N94" s="13"/>
    </row>
    <row r="95" spans="1:14" x14ac:dyDescent="0.25">
      <c r="A95" s="11"/>
      <c r="B95" s="107"/>
      <c r="C95" s="92"/>
      <c r="D95" s="35"/>
      <c r="E95" s="36"/>
      <c r="F95" s="36"/>
      <c r="G95" s="36"/>
      <c r="H95" s="36"/>
      <c r="I95" s="36"/>
      <c r="J95" s="36"/>
      <c r="K95" s="12"/>
      <c r="L95" s="12"/>
      <c r="M95" s="13"/>
      <c r="N95" s="13"/>
    </row>
    <row r="96" spans="1:14" x14ac:dyDescent="0.25">
      <c r="A96" s="11"/>
      <c r="B96" s="107"/>
      <c r="C96" s="92"/>
      <c r="D96" s="35"/>
      <c r="E96" s="36"/>
      <c r="F96" s="36"/>
      <c r="G96" s="36"/>
      <c r="H96" s="36"/>
      <c r="I96" s="36"/>
      <c r="J96" s="36"/>
      <c r="K96" s="12"/>
      <c r="L96" s="12"/>
      <c r="M96" s="13"/>
      <c r="N96" s="13"/>
    </row>
  </sheetData>
  <mergeCells count="4">
    <mergeCell ref="D1:J1"/>
    <mergeCell ref="C64:M64"/>
    <mergeCell ref="C65:M65"/>
    <mergeCell ref="C66:M66"/>
  </mergeCells>
  <printOptions horizontalCentered="1"/>
  <pageMargins left="0.59055118110236227" right="0.39370078740157483" top="0.78740157480314965" bottom="1.1023622047244095" header="0.39370078740157483" footer="0.59055118110236227"/>
  <pageSetup paperSize="9" scale="83" fitToHeight="0" orientation="portrait" r:id="rId1"/>
  <headerFooter alignWithMargins="0">
    <oddHeader xml:space="preserve">&amp;L&amp;"Arial,Normal"&amp;8Edifice : Paris - Sénat
Travaux : Restauration des façades et couvertures de l'aile Nord et des pavillons Nord-Est et Nord-Ouest du Palais du Luxembourg&amp;U
</oddHeader>
    <oddFooter>&amp;R
&amp;"Arial,Normal"&amp;9Page :&amp;P sur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967AC1-A551-40B1-9F1F-532E13BD36B2}">
  <sheetPr codeName="Feuil17">
    <tabColor theme="9"/>
    <pageSetUpPr fitToPage="1"/>
  </sheetPr>
  <dimension ref="A1:N122"/>
  <sheetViews>
    <sheetView showGridLines="0" topLeftCell="A98" zoomScale="190" zoomScaleNormal="190" zoomScaleSheetLayoutView="160" workbookViewId="0">
      <selection activeCell="A107" sqref="A107:XFD107"/>
    </sheetView>
  </sheetViews>
  <sheetFormatPr baseColWidth="10" defaultRowHeight="15" outlineLevelRow="1" outlineLevelCol="1" x14ac:dyDescent="0.25"/>
  <cols>
    <col min="1" max="1" width="6" style="6" customWidth="1"/>
    <col min="2" max="2" width="6" style="9" customWidth="1"/>
    <col min="3" max="3" width="58.42578125" style="97" customWidth="1"/>
    <col min="4" max="4" width="23.5703125" style="33" hidden="1" customWidth="1" outlineLevel="1"/>
    <col min="5" max="5" width="3.28515625" style="34" hidden="1" customWidth="1" outlineLevel="1"/>
    <col min="6" max="6" width="7.140625" style="34" hidden="1" customWidth="1" outlineLevel="1"/>
    <col min="7" max="7" width="3.140625" style="34" hidden="1" customWidth="1" outlineLevel="1"/>
    <col min="8" max="8" width="7.140625" style="34" hidden="1" customWidth="1" outlineLevel="1"/>
    <col min="9" max="9" width="3.85546875" style="34" hidden="1" customWidth="1" outlineLevel="1"/>
    <col min="10" max="10" width="7.140625" style="34" hidden="1" customWidth="1" outlineLevel="1"/>
    <col min="11" max="11" width="7.140625" style="9" customWidth="1" collapsed="1"/>
    <col min="12" max="12" width="7.7109375" style="9" customWidth="1"/>
    <col min="13" max="13" width="12.42578125" style="23" bestFit="1" customWidth="1"/>
    <col min="14" max="14" width="15.7109375" style="23" customWidth="1"/>
  </cols>
  <sheetData>
    <row r="1" spans="1:14" s="5" customFormat="1" ht="12" x14ac:dyDescent="0.2">
      <c r="A1" s="2" t="s">
        <v>6</v>
      </c>
      <c r="B1" s="3" t="s">
        <v>11</v>
      </c>
      <c r="C1" s="95" t="s">
        <v>0</v>
      </c>
      <c r="D1" s="143" t="s">
        <v>17</v>
      </c>
      <c r="E1" s="144"/>
      <c r="F1" s="144"/>
      <c r="G1" s="144"/>
      <c r="H1" s="144"/>
      <c r="I1" s="144"/>
      <c r="J1" s="145"/>
      <c r="K1" s="3" t="s">
        <v>1</v>
      </c>
      <c r="L1" s="3" t="s">
        <v>2</v>
      </c>
      <c r="M1" s="4" t="s">
        <v>3</v>
      </c>
      <c r="N1" s="4" t="s">
        <v>12</v>
      </c>
    </row>
    <row r="2" spans="1:14" x14ac:dyDescent="0.25">
      <c r="A2" s="11"/>
      <c r="B2" s="12"/>
      <c r="C2" s="82"/>
      <c r="D2" s="35"/>
      <c r="E2" s="36"/>
      <c r="F2" s="36"/>
      <c r="G2" s="36"/>
      <c r="H2" s="36"/>
      <c r="I2" s="36"/>
      <c r="J2" s="36"/>
      <c r="K2" s="12"/>
      <c r="L2" s="12"/>
      <c r="M2" s="13"/>
      <c r="N2" s="13"/>
    </row>
    <row r="3" spans="1:14" x14ac:dyDescent="0.25">
      <c r="A3" s="11"/>
      <c r="B3" s="12"/>
      <c r="C3" s="82"/>
      <c r="D3" s="35"/>
      <c r="E3" s="36"/>
      <c r="F3" s="36"/>
      <c r="G3" s="36"/>
      <c r="H3" s="36"/>
      <c r="I3" s="36"/>
      <c r="J3" s="36"/>
      <c r="K3" s="12"/>
      <c r="L3" s="12"/>
      <c r="M3" s="13"/>
      <c r="N3" s="13"/>
    </row>
    <row r="4" spans="1:14" x14ac:dyDescent="0.25">
      <c r="A4" s="11"/>
      <c r="B4" s="12"/>
      <c r="C4" s="18" t="s">
        <v>23</v>
      </c>
      <c r="D4" s="35"/>
      <c r="E4" s="36"/>
      <c r="F4" s="36"/>
      <c r="G4" s="36"/>
      <c r="H4" s="36"/>
      <c r="I4" s="36"/>
      <c r="J4" s="36"/>
      <c r="K4" s="12"/>
      <c r="L4" s="12"/>
      <c r="M4" s="13"/>
      <c r="N4" s="13"/>
    </row>
    <row r="5" spans="1:14" x14ac:dyDescent="0.25">
      <c r="A5" s="11"/>
      <c r="B5" s="12"/>
      <c r="C5" s="82"/>
      <c r="D5" s="35"/>
      <c r="E5" s="36"/>
      <c r="F5" s="36"/>
      <c r="G5" s="36"/>
      <c r="H5" s="36"/>
      <c r="I5" s="36"/>
      <c r="J5" s="36"/>
      <c r="K5" s="12"/>
      <c r="L5" s="12"/>
      <c r="M5" s="13"/>
      <c r="N5" s="13"/>
    </row>
    <row r="6" spans="1:14" x14ac:dyDescent="0.25">
      <c r="A6" s="11"/>
      <c r="B6" s="12"/>
      <c r="C6" s="96" t="s">
        <v>16</v>
      </c>
      <c r="D6" s="35"/>
      <c r="E6" s="36"/>
      <c r="F6" s="36"/>
      <c r="G6" s="36"/>
      <c r="H6" s="36"/>
      <c r="I6" s="36"/>
      <c r="J6" s="36"/>
      <c r="K6" s="12"/>
      <c r="L6" s="12"/>
      <c r="M6" s="13"/>
      <c r="N6" s="13"/>
    </row>
    <row r="7" spans="1:14" x14ac:dyDescent="0.25">
      <c r="A7" s="11"/>
      <c r="B7" s="12"/>
      <c r="C7" s="82"/>
      <c r="D7" s="35"/>
      <c r="E7" s="36"/>
      <c r="F7" s="36"/>
      <c r="G7" s="36"/>
      <c r="H7" s="36"/>
      <c r="I7" s="36"/>
      <c r="J7" s="36"/>
      <c r="K7" s="12"/>
      <c r="L7" s="12"/>
      <c r="M7" s="13"/>
      <c r="N7" s="13"/>
    </row>
    <row r="8" spans="1:14" x14ac:dyDescent="0.25">
      <c r="A8" s="11"/>
      <c r="B8" s="12"/>
      <c r="C8" s="82"/>
      <c r="D8" s="35"/>
      <c r="E8" s="36"/>
      <c r="F8" s="36"/>
      <c r="G8" s="36"/>
      <c r="H8" s="36"/>
      <c r="I8" s="36"/>
      <c r="J8" s="36"/>
      <c r="K8" s="12"/>
      <c r="L8" s="12"/>
      <c r="M8" s="13"/>
      <c r="N8" s="13"/>
    </row>
    <row r="9" spans="1:14" x14ac:dyDescent="0.25">
      <c r="A9" s="11"/>
      <c r="B9" s="12"/>
      <c r="C9" s="25" t="s">
        <v>22</v>
      </c>
      <c r="D9" s="35"/>
      <c r="E9" s="36"/>
      <c r="F9" s="36"/>
      <c r="G9" s="36"/>
      <c r="H9" s="36"/>
      <c r="I9" s="36"/>
      <c r="J9" s="36"/>
      <c r="K9" s="12"/>
      <c r="L9" s="12"/>
      <c r="M9" s="13"/>
      <c r="N9" s="13"/>
    </row>
    <row r="10" spans="1:14" x14ac:dyDescent="0.25">
      <c r="A10" s="11"/>
      <c r="B10" s="12"/>
      <c r="C10" s="24"/>
      <c r="D10" s="35"/>
      <c r="E10" s="36"/>
      <c r="F10" s="36"/>
      <c r="G10" s="36"/>
      <c r="H10" s="36"/>
      <c r="I10" s="36"/>
      <c r="J10" s="36"/>
      <c r="K10" s="12"/>
      <c r="L10" s="12"/>
      <c r="M10" s="13"/>
      <c r="N10" s="13"/>
    </row>
    <row r="11" spans="1:14" x14ac:dyDescent="0.25">
      <c r="A11" s="1">
        <f>IF(L11="","",MAX($A$1:$A10)+1)</f>
        <v>1</v>
      </c>
      <c r="B11" s="12" t="s">
        <v>230</v>
      </c>
      <c r="C11" s="83" t="s">
        <v>117</v>
      </c>
      <c r="D11" s="35" t="s">
        <v>164</v>
      </c>
      <c r="E11" s="36"/>
      <c r="F11" s="36"/>
      <c r="G11" s="36"/>
      <c r="H11" s="36"/>
      <c r="I11" s="36"/>
      <c r="J11" s="36"/>
      <c r="K11" s="12" t="s">
        <v>7</v>
      </c>
      <c r="L11" s="73">
        <v>254</v>
      </c>
      <c r="M11" s="13"/>
      <c r="N11" s="13">
        <f>M11*L11</f>
        <v>0</v>
      </c>
    </row>
    <row r="12" spans="1:14" x14ac:dyDescent="0.25">
      <c r="A12" s="1" t="str">
        <f>IF(L12="","",MAX($A$1:$A11)+1)</f>
        <v/>
      </c>
      <c r="B12" s="12"/>
      <c r="C12" s="83"/>
      <c r="D12" s="35"/>
      <c r="E12" s="36"/>
      <c r="F12" s="36"/>
      <c r="G12" s="36"/>
      <c r="H12" s="36"/>
      <c r="I12" s="36"/>
      <c r="J12" s="36"/>
      <c r="K12" s="12"/>
      <c r="L12" s="12"/>
      <c r="M12" s="13"/>
      <c r="N12" s="13"/>
    </row>
    <row r="13" spans="1:14" x14ac:dyDescent="0.25">
      <c r="A13" s="1" t="str">
        <f>IF(L13="","",MAX($A$1:$A12)+1)</f>
        <v/>
      </c>
      <c r="B13" s="12"/>
      <c r="C13" s="25" t="s">
        <v>27</v>
      </c>
      <c r="D13" s="35"/>
      <c r="E13" s="36"/>
      <c r="F13" s="36"/>
      <c r="G13" s="36"/>
      <c r="H13" s="36"/>
      <c r="I13" s="36"/>
      <c r="J13" s="36"/>
      <c r="K13" s="12"/>
      <c r="L13" s="12"/>
      <c r="M13" s="13"/>
      <c r="N13" s="13"/>
    </row>
    <row r="14" spans="1:14" x14ac:dyDescent="0.25">
      <c r="A14" s="1" t="str">
        <f>IF(L14="","",MAX($A$1:$A13)+1)</f>
        <v/>
      </c>
      <c r="B14" s="12"/>
      <c r="C14" s="25"/>
      <c r="D14" s="35"/>
      <c r="E14" s="36"/>
      <c r="F14" s="36"/>
      <c r="G14" s="36"/>
      <c r="H14" s="36"/>
      <c r="I14" s="36"/>
      <c r="J14" s="36"/>
      <c r="K14" s="12"/>
      <c r="L14" s="12"/>
      <c r="M14" s="13"/>
      <c r="N14" s="13"/>
    </row>
    <row r="15" spans="1:14" x14ac:dyDescent="0.25">
      <c r="A15" s="1">
        <f>IF(L15="","",MAX($A$1:$A14)+1)</f>
        <v>2</v>
      </c>
      <c r="B15" s="12" t="s">
        <v>231</v>
      </c>
      <c r="C15" s="62" t="s">
        <v>289</v>
      </c>
      <c r="D15" s="35"/>
      <c r="E15" s="36"/>
      <c r="F15" s="36"/>
      <c r="G15" s="36"/>
      <c r="H15" s="36"/>
      <c r="I15" s="36"/>
      <c r="J15" s="36"/>
      <c r="K15" s="12" t="s">
        <v>4</v>
      </c>
      <c r="L15" s="12">
        <v>1</v>
      </c>
      <c r="M15" s="13"/>
      <c r="N15" s="13">
        <f t="shared" ref="N15" si="0">M15*L15</f>
        <v>0</v>
      </c>
    </row>
    <row r="16" spans="1:14" x14ac:dyDescent="0.25">
      <c r="A16" s="1" t="str">
        <f>IF(L16="","",MAX($A$1:$A15)+1)</f>
        <v/>
      </c>
      <c r="B16" s="38"/>
      <c r="C16" s="84"/>
      <c r="D16" s="35"/>
      <c r="E16" s="36"/>
      <c r="F16" s="36"/>
      <c r="G16" s="36"/>
      <c r="H16" s="36"/>
      <c r="I16" s="36"/>
      <c r="J16" s="36"/>
      <c r="K16" s="12"/>
      <c r="L16" s="12"/>
      <c r="M16" s="13"/>
      <c r="N16" s="13"/>
    </row>
    <row r="17" spans="1:14" x14ac:dyDescent="0.25">
      <c r="A17" s="1">
        <f>IF(L17="","",MAX($A$1:$A16)+1)</f>
        <v>3</v>
      </c>
      <c r="B17" s="12" t="s">
        <v>232</v>
      </c>
      <c r="C17" s="81" t="s">
        <v>165</v>
      </c>
      <c r="D17" s="35" t="s">
        <v>166</v>
      </c>
      <c r="E17" s="36" t="s">
        <v>18</v>
      </c>
      <c r="F17" s="36">
        <f>13.45*2+13.8*2</f>
        <v>54.5</v>
      </c>
      <c r="G17" s="36" t="s">
        <v>19</v>
      </c>
      <c r="H17" s="36">
        <v>0.5</v>
      </c>
      <c r="I17" s="36" t="s">
        <v>18</v>
      </c>
      <c r="J17" s="36">
        <f>SUM(F17:H17)</f>
        <v>55</v>
      </c>
      <c r="K17" s="12" t="s">
        <v>4</v>
      </c>
      <c r="L17" s="12">
        <v>1</v>
      </c>
      <c r="M17" s="13"/>
      <c r="N17" s="13">
        <f>M17*L17</f>
        <v>0</v>
      </c>
    </row>
    <row r="18" spans="1:14" ht="22.5" x14ac:dyDescent="0.25">
      <c r="A18" s="1">
        <f>IF(L18="","",MAX($A$1:$A17)+1)</f>
        <v>4</v>
      </c>
      <c r="B18" s="12" t="s">
        <v>232</v>
      </c>
      <c r="C18" s="81" t="s">
        <v>167</v>
      </c>
      <c r="D18" s="35"/>
      <c r="E18" s="36"/>
      <c r="F18" s="36"/>
      <c r="G18" s="36"/>
      <c r="H18" s="36"/>
      <c r="I18" s="36"/>
      <c r="J18" s="36"/>
      <c r="K18" s="12" t="s">
        <v>7</v>
      </c>
      <c r="L18" s="15">
        <v>282</v>
      </c>
      <c r="M18" s="13"/>
      <c r="N18" s="13">
        <f>M18*L18</f>
        <v>0</v>
      </c>
    </row>
    <row r="19" spans="1:14" hidden="1" outlineLevel="1" x14ac:dyDescent="0.25">
      <c r="A19" s="1" t="str">
        <f>IF(L19="","",MAX($A$1:$A18)+1)</f>
        <v/>
      </c>
      <c r="B19" s="12"/>
      <c r="C19" s="81"/>
      <c r="D19" s="35" t="s">
        <v>120</v>
      </c>
      <c r="E19" s="36" t="s">
        <v>18</v>
      </c>
      <c r="F19" s="48">
        <f>((12.15+2.45)/2*6-(3.6*2.4-1*0.8/2+0.7*0.9+2*(1.4*0.85+0.7*1.4/2)))*1/COS(RADIANS(55.41))</f>
        <v>55.61</v>
      </c>
      <c r="G19" s="36"/>
      <c r="H19" s="36"/>
      <c r="I19" s="36"/>
      <c r="J19" s="36"/>
      <c r="K19" s="12"/>
      <c r="L19" s="12"/>
      <c r="M19" s="13"/>
      <c r="N19" s="13"/>
    </row>
    <row r="20" spans="1:14" hidden="1" outlineLevel="1" x14ac:dyDescent="0.25">
      <c r="A20" s="1" t="str">
        <f>IF(L20="","",MAX($A$1:$A19)+1)</f>
        <v/>
      </c>
      <c r="B20" s="12"/>
      <c r="C20" s="81"/>
      <c r="D20" s="35" t="s">
        <v>121</v>
      </c>
      <c r="E20" s="36" t="s">
        <v>18</v>
      </c>
      <c r="F20" s="48">
        <f>((12.15+2.45)/2*6.07-(0.8*0.95+0.4*0.5+2*0.3*0.45+2*(1.4*0.85+0.7*1.4/2)))*1/COS(RADIANS(55.1))</f>
        <v>69.42</v>
      </c>
      <c r="G20" s="36"/>
      <c r="H20" s="36"/>
      <c r="I20" s="36"/>
      <c r="J20" s="36"/>
      <c r="K20" s="12"/>
      <c r="L20" s="12"/>
      <c r="M20" s="13"/>
      <c r="N20" s="13"/>
    </row>
    <row r="21" spans="1:14" hidden="1" outlineLevel="1" x14ac:dyDescent="0.25">
      <c r="A21" s="1" t="str">
        <f>IF(L21="","",MAX($A$1:$A20)+1)</f>
        <v/>
      </c>
      <c r="B21" s="12"/>
      <c r="C21" s="81"/>
      <c r="D21" s="35" t="s">
        <v>122</v>
      </c>
      <c r="E21" s="36" t="s">
        <v>18</v>
      </c>
      <c r="F21" s="48">
        <f>((12.5+0.4)/2*4.8-(2*0.3*0.45+0.7*0.6+0.7*0.55+2*(1.2*0.75+0.6*1.2/2)))*1/COS(RADIANS(61.11))</f>
        <v>56.64</v>
      </c>
      <c r="G21" s="36"/>
      <c r="H21" s="36"/>
      <c r="I21" s="36"/>
      <c r="J21" s="36"/>
      <c r="K21" s="12"/>
      <c r="L21" s="12"/>
      <c r="M21" s="13"/>
      <c r="N21" s="13"/>
    </row>
    <row r="22" spans="1:14" hidden="1" outlineLevel="1" x14ac:dyDescent="0.25">
      <c r="A22" s="1" t="str">
        <f>IF(L22="","",MAX($A$1:$A21)+1)</f>
        <v/>
      </c>
      <c r="B22" s="12"/>
      <c r="C22" s="81"/>
      <c r="D22" s="35" t="s">
        <v>123</v>
      </c>
      <c r="E22" s="36" t="s">
        <v>18</v>
      </c>
      <c r="F22" s="48">
        <f>((12.5+0.4)/2*4.8-(2*0.3*0.45+0.65*0.9+2*(1.2*0.75+0.6*1.2/2)))*1/COS(RADIANS(61.11))</f>
        <v>57.1</v>
      </c>
      <c r="G22" s="36"/>
      <c r="H22" s="36"/>
      <c r="I22" s="36"/>
      <c r="J22" s="36"/>
      <c r="K22" s="12"/>
      <c r="L22" s="12"/>
      <c r="M22" s="13"/>
      <c r="N22" s="13"/>
    </row>
    <row r="23" spans="1:14" hidden="1" outlineLevel="1" x14ac:dyDescent="0.25">
      <c r="A23" s="1" t="str">
        <f>IF(L23="","",MAX($A$1:$A22)+1)</f>
        <v/>
      </c>
      <c r="B23" s="12"/>
      <c r="C23" s="81"/>
      <c r="D23" s="35" t="s">
        <v>168</v>
      </c>
      <c r="E23" s="36" t="s">
        <v>18</v>
      </c>
      <c r="F23" s="48">
        <f>2*(2*(2*0.65*1.4*1/COS(RADIANS(50.91))+1.4*0.6/2*1/COS(RADIANS(53.13))+2*1.4*1.4/2))+2*(2*(2*0.65*1.2*1/COS(RADIANS(50.91))+1.2*0.5/2*1/COS(RADIANS(58))+2*1*1.4/2))</f>
        <v>39.950000000000003</v>
      </c>
      <c r="G23" s="36"/>
      <c r="H23" s="36"/>
      <c r="I23" s="36"/>
      <c r="J23" s="36"/>
      <c r="K23" s="12"/>
      <c r="L23" s="12"/>
      <c r="M23" s="13"/>
      <c r="N23" s="13"/>
    </row>
    <row r="24" spans="1:14" hidden="1" outlineLevel="1" x14ac:dyDescent="0.25">
      <c r="A24" s="1" t="str">
        <f>IF(L24="","",MAX($A$1:$A23)+1)</f>
        <v/>
      </c>
      <c r="B24" s="12"/>
      <c r="C24" s="81"/>
      <c r="D24" s="35" t="s">
        <v>169</v>
      </c>
      <c r="E24" s="36" t="s">
        <v>18</v>
      </c>
      <c r="F24" s="48">
        <f>6*(0.45*0.3+2*0.45*0.6/2)</f>
        <v>2.4300000000000002</v>
      </c>
      <c r="G24" s="36"/>
      <c r="H24" s="36"/>
      <c r="I24" s="36"/>
      <c r="J24" s="36"/>
      <c r="K24" s="12"/>
      <c r="L24" s="12"/>
      <c r="M24" s="13"/>
      <c r="N24" s="13"/>
    </row>
    <row r="25" spans="1:14" hidden="1" outlineLevel="1" x14ac:dyDescent="0.25">
      <c r="A25" s="1" t="str">
        <f>IF(L25="","",MAX($A$1:$A24)+1)</f>
        <v/>
      </c>
      <c r="B25" s="12"/>
      <c r="C25" s="81"/>
      <c r="D25" s="35"/>
      <c r="E25" s="36"/>
      <c r="F25" s="48">
        <v>0.85</v>
      </c>
      <c r="G25" s="36" t="s">
        <v>18</v>
      </c>
      <c r="H25" s="48">
        <f>SUM(F19:F25)</f>
        <v>282</v>
      </c>
      <c r="I25" s="36"/>
      <c r="J25" s="36"/>
      <c r="K25" s="12"/>
      <c r="L25" s="12"/>
      <c r="M25" s="13"/>
      <c r="N25" s="13"/>
    </row>
    <row r="26" spans="1:14" collapsed="1" x14ac:dyDescent="0.25">
      <c r="A26" s="1">
        <f>IF(L26="","",MAX($A$1:$A25)+1)</f>
        <v>5</v>
      </c>
      <c r="B26" s="12" t="s">
        <v>232</v>
      </c>
      <c r="C26" s="81" t="s">
        <v>240</v>
      </c>
      <c r="D26" s="35"/>
      <c r="E26" s="36"/>
      <c r="F26" s="48"/>
      <c r="G26" s="36"/>
      <c r="H26" s="36"/>
      <c r="I26" s="36"/>
      <c r="J26" s="36"/>
      <c r="K26" s="12" t="s">
        <v>7</v>
      </c>
      <c r="L26" s="15">
        <v>271</v>
      </c>
      <c r="M26" s="13"/>
      <c r="N26" s="13">
        <f>M26*L26</f>
        <v>0</v>
      </c>
    </row>
    <row r="27" spans="1:14" hidden="1" outlineLevel="1" x14ac:dyDescent="0.25">
      <c r="A27" s="1" t="str">
        <f>IF(L27="","",MAX($A$1:$A26)+1)</f>
        <v/>
      </c>
      <c r="B27" s="12"/>
      <c r="C27" s="81"/>
      <c r="D27" s="35" t="s">
        <v>120</v>
      </c>
      <c r="E27" s="36" t="s">
        <v>18</v>
      </c>
      <c r="F27" s="48">
        <f>((12.15+2.45)/2*6-(1.8*0.8+3.6*2.4-1*0.8/2+0.7*0.9+2*(1.4*0.85+0.7*1.4/2)))*1/COS(RADIANS(55.41))</f>
        <v>53.07</v>
      </c>
      <c r="G27" s="36"/>
      <c r="H27" s="36"/>
      <c r="I27" s="36"/>
      <c r="J27" s="36"/>
      <c r="K27" s="12"/>
      <c r="L27" s="15"/>
      <c r="M27" s="13"/>
      <c r="N27" s="13"/>
    </row>
    <row r="28" spans="1:14" hidden="1" outlineLevel="1" x14ac:dyDescent="0.25">
      <c r="A28" s="1" t="str">
        <f>IF(L28="","",MAX($A$1:$A27)+1)</f>
        <v/>
      </c>
      <c r="B28" s="12"/>
      <c r="C28" s="81"/>
      <c r="D28" s="35" t="s">
        <v>121</v>
      </c>
      <c r="E28" s="36" t="s">
        <v>18</v>
      </c>
      <c r="F28" s="48">
        <f>((12.15+2.45)/2*6.07-(4*0.8+0.8*0.95+0.4*0.5+2*0.3*0.45+2*(1.4*0.85+0.7*1.4/2)))*1/COS(RADIANS(55.1))</f>
        <v>63.83</v>
      </c>
      <c r="G28" s="36"/>
      <c r="H28" s="36"/>
      <c r="I28" s="36"/>
      <c r="J28" s="36"/>
      <c r="K28" s="12"/>
      <c r="L28" s="15"/>
      <c r="M28" s="13"/>
      <c r="N28" s="13"/>
    </row>
    <row r="29" spans="1:14" hidden="1" outlineLevel="1" x14ac:dyDescent="0.25">
      <c r="A29" s="1" t="str">
        <f>IF(L29="","",MAX($A$1:$A28)+1)</f>
        <v/>
      </c>
      <c r="B29" s="12"/>
      <c r="C29" s="81"/>
      <c r="D29" s="35" t="s">
        <v>122</v>
      </c>
      <c r="E29" s="36" t="s">
        <v>18</v>
      </c>
      <c r="F29" s="48">
        <f>((12.5+0.4)/2*4.8-(2*0.3*0.45+0.7*0.6+0.7*0.55+2*(1.2*0.75+0.6*1.2/2)))*1/COS(RADIANS(61.11))</f>
        <v>56.64</v>
      </c>
      <c r="G29" s="36"/>
      <c r="H29" s="36"/>
      <c r="I29" s="36"/>
      <c r="J29" s="36"/>
      <c r="K29" s="12"/>
      <c r="L29" s="15"/>
      <c r="M29" s="13"/>
      <c r="N29" s="13"/>
    </row>
    <row r="30" spans="1:14" hidden="1" outlineLevel="1" x14ac:dyDescent="0.25">
      <c r="A30" s="1" t="str">
        <f>IF(L30="","",MAX($A$1:$A29)+1)</f>
        <v/>
      </c>
      <c r="B30" s="12"/>
      <c r="C30" s="81"/>
      <c r="D30" s="35" t="s">
        <v>123</v>
      </c>
      <c r="E30" s="36" t="s">
        <v>18</v>
      </c>
      <c r="F30" s="48">
        <f>((12.5+0.4)/2*4.8-(2*0.3*0.45+0.65*0.9+2*(1.2*0.75+0.6*1.2/2)))*1/COS(RADIANS(61.11))</f>
        <v>57.1</v>
      </c>
      <c r="G30" s="36"/>
      <c r="H30" s="36"/>
      <c r="I30" s="36"/>
      <c r="J30" s="36"/>
      <c r="K30" s="12"/>
      <c r="L30" s="15"/>
      <c r="M30" s="13"/>
      <c r="N30" s="13"/>
    </row>
    <row r="31" spans="1:14" hidden="1" outlineLevel="1" x14ac:dyDescent="0.25">
      <c r="A31" s="1" t="str">
        <f>IF(L31="","",MAX($A$1:$A30)+1)</f>
        <v/>
      </c>
      <c r="B31" s="12"/>
      <c r="C31" s="81"/>
      <c r="D31" s="35" t="s">
        <v>168</v>
      </c>
      <c r="E31" s="36" t="s">
        <v>18</v>
      </c>
      <c r="F31" s="48">
        <f>2*(2*(2*0.65*1.4*1/COS(RADIANS(50.91))+1.4*0.6/2*1/COS(RADIANS(53.13))+2*1.4*1.4/2))+2*(2*(2*0.65*1.2*1/COS(RADIANS(50.91))+1.2*0.5/2*1/COS(RADIANS(58))+2*1*1.4/2))</f>
        <v>39.950000000000003</v>
      </c>
      <c r="G31" s="36"/>
      <c r="H31" s="36"/>
      <c r="I31" s="36"/>
      <c r="J31" s="36"/>
      <c r="K31" s="12"/>
      <c r="L31" s="15"/>
      <c r="M31" s="13"/>
      <c r="N31" s="13"/>
    </row>
    <row r="32" spans="1:14" hidden="1" outlineLevel="1" x14ac:dyDescent="0.25">
      <c r="A32" s="1" t="str">
        <f>IF(L32="","",MAX($A$1:$A31)+1)</f>
        <v/>
      </c>
      <c r="B32" s="12"/>
      <c r="C32" s="81"/>
      <c r="D32" s="35"/>
      <c r="E32" s="36"/>
      <c r="F32" s="48">
        <v>0.41</v>
      </c>
      <c r="G32" s="36" t="s">
        <v>18</v>
      </c>
      <c r="H32" s="48">
        <f>SUM(F27:F32)</f>
        <v>271</v>
      </c>
      <c r="I32" s="36"/>
      <c r="J32" s="36"/>
      <c r="K32" s="12"/>
      <c r="L32" s="15"/>
      <c r="M32" s="13"/>
      <c r="N32" s="13"/>
    </row>
    <row r="33" spans="1:14" collapsed="1" x14ac:dyDescent="0.25">
      <c r="A33" s="1">
        <f>IF(L33="","",MAX($A$1:$A32)+1)</f>
        <v>6</v>
      </c>
      <c r="B33" s="12" t="s">
        <v>232</v>
      </c>
      <c r="C33" s="62" t="s">
        <v>276</v>
      </c>
      <c r="D33" s="35"/>
      <c r="E33" s="36"/>
      <c r="F33" s="36"/>
      <c r="G33" s="36"/>
      <c r="H33" s="36"/>
      <c r="I33" s="36"/>
      <c r="J33" s="36"/>
      <c r="K33" s="12" t="s">
        <v>5</v>
      </c>
      <c r="L33" s="15">
        <v>256</v>
      </c>
      <c r="M33" s="13"/>
      <c r="N33" s="13">
        <f>M33*L33</f>
        <v>0</v>
      </c>
    </row>
    <row r="34" spans="1:14" hidden="1" outlineLevel="1" x14ac:dyDescent="0.25">
      <c r="A34" s="1" t="str">
        <f>IF(L34="","",MAX($A$1:$A33)+1)</f>
        <v/>
      </c>
      <c r="B34" s="12"/>
      <c r="C34" s="81"/>
      <c r="D34" s="50" t="s">
        <v>129</v>
      </c>
      <c r="E34" s="36" t="s">
        <v>18</v>
      </c>
      <c r="F34" s="36">
        <f>5.3+16.2+7.7+15.2</f>
        <v>44.4</v>
      </c>
      <c r="G34" s="36"/>
      <c r="H34" s="36"/>
      <c r="I34" s="36"/>
      <c r="J34" s="36"/>
      <c r="K34" s="12"/>
      <c r="L34" s="12"/>
      <c r="M34" s="13"/>
      <c r="N34" s="13"/>
    </row>
    <row r="35" spans="1:14" hidden="1" outlineLevel="1" x14ac:dyDescent="0.25">
      <c r="A35" s="1" t="str">
        <f>IF(L35="","",MAX($A$1:$A34)+1)</f>
        <v/>
      </c>
      <c r="B35" s="12"/>
      <c r="C35" s="81"/>
      <c r="D35" s="50" t="s">
        <v>130</v>
      </c>
      <c r="E35" s="36" t="s">
        <v>18</v>
      </c>
      <c r="F35" s="36">
        <f>3.2+9.4+14.8+15.4+4.9</f>
        <v>47.7</v>
      </c>
      <c r="G35" s="36"/>
      <c r="H35" s="36"/>
      <c r="I35" s="36"/>
      <c r="J35" s="36"/>
      <c r="K35" s="12"/>
      <c r="L35" s="12"/>
      <c r="M35" s="13"/>
      <c r="N35" s="13"/>
    </row>
    <row r="36" spans="1:14" hidden="1" outlineLevel="1" x14ac:dyDescent="0.25">
      <c r="A36" s="1" t="str">
        <f>IF(L36="","",MAX($A$1:$A35)+1)</f>
        <v/>
      </c>
      <c r="B36" s="12"/>
      <c r="C36" s="81"/>
      <c r="D36" s="50" t="s">
        <v>131</v>
      </c>
      <c r="E36" s="36" t="s">
        <v>18</v>
      </c>
      <c r="F36" s="36">
        <f>15.6*2+16+5.5</f>
        <v>52.7</v>
      </c>
      <c r="G36" s="36"/>
      <c r="H36" s="36"/>
      <c r="I36" s="36"/>
      <c r="J36" s="36"/>
      <c r="K36" s="12"/>
      <c r="L36" s="12"/>
      <c r="M36" s="13"/>
      <c r="N36" s="13"/>
    </row>
    <row r="37" spans="1:14" hidden="1" outlineLevel="1" x14ac:dyDescent="0.25">
      <c r="A37" s="1" t="str">
        <f>IF(L37="","",MAX($A$1:$A36)+1)</f>
        <v/>
      </c>
      <c r="B37" s="12"/>
      <c r="C37" s="81"/>
      <c r="D37" s="50" t="s">
        <v>132</v>
      </c>
      <c r="E37" s="36" t="s">
        <v>18</v>
      </c>
      <c r="F37" s="36">
        <f>14.6+14.5*2+14.8-4</f>
        <v>54.4</v>
      </c>
      <c r="G37" s="36"/>
      <c r="H37" s="36"/>
      <c r="I37" s="36"/>
      <c r="J37" s="36"/>
      <c r="K37" s="12"/>
      <c r="L37" s="12"/>
      <c r="M37" s="13"/>
      <c r="N37" s="13"/>
    </row>
    <row r="38" spans="1:14" hidden="1" outlineLevel="1" x14ac:dyDescent="0.25">
      <c r="A38" s="1" t="str">
        <f>IF(L38="","",MAX($A$1:$A37)+1)</f>
        <v/>
      </c>
      <c r="B38" s="12"/>
      <c r="C38" s="81"/>
      <c r="D38" s="50" t="s">
        <v>133</v>
      </c>
      <c r="E38" s="36" t="s">
        <v>18</v>
      </c>
      <c r="F38" s="36">
        <f>(15+15.5)*2-4.2</f>
        <v>56.8</v>
      </c>
      <c r="G38" s="36"/>
      <c r="H38" s="36"/>
      <c r="I38" s="36"/>
      <c r="J38" s="36"/>
      <c r="K38" s="12"/>
      <c r="L38" s="12"/>
      <c r="M38" s="13"/>
      <c r="N38" s="13"/>
    </row>
    <row r="39" spans="1:14" hidden="1" outlineLevel="1" x14ac:dyDescent="0.25">
      <c r="A39" s="1" t="str">
        <f>IF(L39="","",MAX($A$1:$A38)+1)</f>
        <v/>
      </c>
      <c r="B39" s="12"/>
      <c r="C39" s="81"/>
      <c r="D39" s="35"/>
      <c r="E39" s="36"/>
      <c r="F39" s="36"/>
      <c r="G39" s="36" t="s">
        <v>18</v>
      </c>
      <c r="H39" s="36">
        <f>SUM(F34:F39)</f>
        <v>256</v>
      </c>
      <c r="I39" s="36"/>
      <c r="J39" s="36"/>
      <c r="K39" s="12"/>
      <c r="L39" s="12"/>
      <c r="M39" s="13"/>
      <c r="N39" s="13"/>
    </row>
    <row r="40" spans="1:14" collapsed="1" x14ac:dyDescent="0.25">
      <c r="A40" s="1">
        <f>IF(L40="","",MAX($A$1:$A39)+1)</f>
        <v>7</v>
      </c>
      <c r="B40" s="12" t="s">
        <v>232</v>
      </c>
      <c r="C40" s="81" t="s">
        <v>135</v>
      </c>
      <c r="D40" s="50"/>
      <c r="E40" s="36" t="s">
        <v>18</v>
      </c>
      <c r="F40" s="48">
        <f>(2.4*3.6+6*(0.3*0.45+2*0.4*0.6/2))</f>
        <v>10.89</v>
      </c>
      <c r="G40" s="36" t="s">
        <v>19</v>
      </c>
      <c r="H40" s="36">
        <v>0.11</v>
      </c>
      <c r="I40" s="36" t="s">
        <v>18</v>
      </c>
      <c r="J40" s="36">
        <f>SUM(F40:H40)</f>
        <v>11</v>
      </c>
      <c r="K40" s="12" t="s">
        <v>7</v>
      </c>
      <c r="L40" s="15">
        <v>11</v>
      </c>
      <c r="M40" s="13"/>
      <c r="N40" s="13">
        <f>M40*L40</f>
        <v>0</v>
      </c>
    </row>
    <row r="41" spans="1:14" x14ac:dyDescent="0.25">
      <c r="A41" s="1">
        <f>IF(L41="","",MAX($A$1:$A40)+1)</f>
        <v>8</v>
      </c>
      <c r="B41" s="12" t="s">
        <v>232</v>
      </c>
      <c r="C41" s="81" t="s">
        <v>170</v>
      </c>
      <c r="D41" s="36" t="s">
        <v>5</v>
      </c>
      <c r="E41" s="36" t="s">
        <v>18</v>
      </c>
      <c r="F41" s="36">
        <f>8*1.8</f>
        <v>14.4</v>
      </c>
      <c r="G41" s="36"/>
      <c r="H41" s="36"/>
      <c r="I41" s="36"/>
      <c r="J41" s="36"/>
      <c r="K41" s="12" t="s">
        <v>1</v>
      </c>
      <c r="L41" s="15">
        <v>8</v>
      </c>
      <c r="M41" s="13"/>
      <c r="N41" s="13">
        <f>M41*L41</f>
        <v>0</v>
      </c>
    </row>
    <row r="42" spans="1:14" x14ac:dyDescent="0.25">
      <c r="A42" s="1">
        <f>IF(L42="","",MAX($A$1:$A41)+1)</f>
        <v>9</v>
      </c>
      <c r="B42" s="12" t="s">
        <v>232</v>
      </c>
      <c r="C42" s="81" t="s">
        <v>171</v>
      </c>
      <c r="D42" s="36"/>
      <c r="E42" s="36"/>
      <c r="F42" s="48"/>
      <c r="G42" s="36"/>
      <c r="H42" s="36"/>
      <c r="I42" s="36"/>
      <c r="J42" s="36"/>
      <c r="K42" s="12" t="s">
        <v>1</v>
      </c>
      <c r="L42" s="15">
        <v>8</v>
      </c>
      <c r="M42" s="13"/>
      <c r="N42" s="13">
        <f>M42*L42</f>
        <v>0</v>
      </c>
    </row>
    <row r="43" spans="1:14" x14ac:dyDescent="0.25">
      <c r="A43" s="1">
        <f>IF(L43="","",MAX($A$1:$A42)+1)</f>
        <v>10</v>
      </c>
      <c r="B43" s="12" t="s">
        <v>232</v>
      </c>
      <c r="C43" s="81" t="s">
        <v>172</v>
      </c>
      <c r="D43" s="35"/>
      <c r="E43" s="36"/>
      <c r="F43" s="36"/>
      <c r="G43" s="36"/>
      <c r="H43" s="36"/>
      <c r="I43" s="36"/>
      <c r="J43" s="36"/>
      <c r="K43" s="12" t="s">
        <v>5</v>
      </c>
      <c r="L43" s="15">
        <v>50</v>
      </c>
      <c r="M43" s="13"/>
      <c r="N43" s="13">
        <f>M43*L43</f>
        <v>0</v>
      </c>
    </row>
    <row r="44" spans="1:14" ht="22.5" hidden="1" outlineLevel="1" x14ac:dyDescent="0.25">
      <c r="A44" s="1" t="str">
        <f>IF(L44="","",MAX($A$1:$A43)+1)</f>
        <v/>
      </c>
      <c r="B44" s="12"/>
      <c r="C44" s="81"/>
      <c r="D44" s="50" t="s">
        <v>173</v>
      </c>
      <c r="E44" s="36" t="s">
        <v>18</v>
      </c>
      <c r="F44" s="48">
        <f>2*(12.15+12.5)</f>
        <v>49.3</v>
      </c>
      <c r="G44" s="36" t="s">
        <v>19</v>
      </c>
      <c r="H44" s="36">
        <v>0.7</v>
      </c>
      <c r="I44" s="36" t="s">
        <v>18</v>
      </c>
      <c r="J44" s="48">
        <f>SUM(F44:H44)</f>
        <v>50</v>
      </c>
      <c r="K44" s="12"/>
      <c r="L44" s="15"/>
      <c r="M44" s="13"/>
      <c r="N44" s="13"/>
    </row>
    <row r="45" spans="1:14" collapsed="1" x14ac:dyDescent="0.25">
      <c r="A45" s="1">
        <f>IF(L45="","",MAX($A$1:$A44)+1)</f>
        <v>11</v>
      </c>
      <c r="B45" s="12" t="s">
        <v>232</v>
      </c>
      <c r="C45" s="81" t="s">
        <v>174</v>
      </c>
      <c r="D45" s="35"/>
      <c r="E45" s="36"/>
      <c r="F45" s="36"/>
      <c r="G45" s="36"/>
      <c r="H45" s="36"/>
      <c r="I45" s="36"/>
      <c r="J45" s="36"/>
      <c r="K45" s="12" t="s">
        <v>5</v>
      </c>
      <c r="L45" s="15">
        <v>13</v>
      </c>
      <c r="M45" s="13"/>
      <c r="N45" s="13">
        <f>M45*L45</f>
        <v>0</v>
      </c>
    </row>
    <row r="46" spans="1:14" hidden="1" outlineLevel="1" x14ac:dyDescent="0.25">
      <c r="A46" s="1" t="str">
        <f>IF(L46="","",MAX($A$1:$A45)+1)</f>
        <v/>
      </c>
      <c r="B46" s="12"/>
      <c r="C46" s="81"/>
      <c r="D46" s="35" t="s">
        <v>175</v>
      </c>
      <c r="E46" s="36" t="s">
        <v>18</v>
      </c>
      <c r="F46" s="36">
        <f>4*1.2+4*1.4</f>
        <v>10.4</v>
      </c>
      <c r="G46" s="36"/>
      <c r="H46" s="36"/>
      <c r="I46" s="36"/>
      <c r="J46" s="36"/>
      <c r="K46" s="12"/>
      <c r="L46" s="15"/>
      <c r="M46" s="13"/>
      <c r="N46" s="13">
        <f>M45*L45</f>
        <v>0</v>
      </c>
    </row>
    <row r="47" spans="1:14" hidden="1" outlineLevel="1" x14ac:dyDescent="0.25">
      <c r="A47" s="1" t="str">
        <f>IF(L47="","",MAX($A$1:$A46)+1)</f>
        <v/>
      </c>
      <c r="B47" s="12"/>
      <c r="C47" s="81"/>
      <c r="D47" s="35" t="s">
        <v>176</v>
      </c>
      <c r="E47" s="36" t="s">
        <v>18</v>
      </c>
      <c r="F47" s="36">
        <f>2.45</f>
        <v>2.4500000000000002</v>
      </c>
      <c r="G47" s="36"/>
      <c r="H47" s="36"/>
      <c r="I47" s="36"/>
      <c r="J47" s="36"/>
      <c r="K47" s="12"/>
      <c r="L47" s="15"/>
      <c r="M47" s="13"/>
      <c r="N47" s="13">
        <f>M46*L46</f>
        <v>0</v>
      </c>
    </row>
    <row r="48" spans="1:14" hidden="1" outlineLevel="1" x14ac:dyDescent="0.25">
      <c r="A48" s="1" t="str">
        <f>IF(L48="","",MAX($A$1:$A47)+1)</f>
        <v/>
      </c>
      <c r="B48" s="12"/>
      <c r="C48" s="81"/>
      <c r="D48" s="35"/>
      <c r="E48" s="36"/>
      <c r="F48" s="36">
        <v>0.15</v>
      </c>
      <c r="G48" s="36" t="s">
        <v>18</v>
      </c>
      <c r="H48" s="36">
        <f>SUM(F46:F48)</f>
        <v>13</v>
      </c>
      <c r="I48" s="36"/>
      <c r="J48" s="36"/>
      <c r="K48" s="12"/>
      <c r="L48" s="15"/>
      <c r="M48" s="13"/>
      <c r="N48" s="13">
        <f>M47*L47</f>
        <v>0</v>
      </c>
    </row>
    <row r="49" spans="1:14" collapsed="1" x14ac:dyDescent="0.25">
      <c r="A49" s="1">
        <f>IF(L49="","",MAX($A$1:$A48)+1)</f>
        <v>12</v>
      </c>
      <c r="B49" s="12" t="s">
        <v>232</v>
      </c>
      <c r="C49" s="81" t="s">
        <v>270</v>
      </c>
      <c r="D49" s="35"/>
      <c r="E49" s="36"/>
      <c r="F49" s="36"/>
      <c r="G49" s="36"/>
      <c r="H49" s="36"/>
      <c r="I49" s="36"/>
      <c r="J49" s="36"/>
      <c r="K49" s="12" t="s">
        <v>5</v>
      </c>
      <c r="L49" s="15">
        <v>67.5</v>
      </c>
      <c r="M49" s="13"/>
      <c r="N49" s="13">
        <f>M49*L49</f>
        <v>0</v>
      </c>
    </row>
    <row r="50" spans="1:14" hidden="1" outlineLevel="1" x14ac:dyDescent="0.25">
      <c r="A50" s="1" t="str">
        <f>IF(L50="","",MAX($A$1:$A49)+1)</f>
        <v/>
      </c>
      <c r="B50" s="12"/>
      <c r="C50" s="81"/>
      <c r="D50" s="35" t="s">
        <v>125</v>
      </c>
      <c r="E50" s="36" t="s">
        <v>18</v>
      </c>
      <c r="F50" s="36">
        <f>8*2*1.28</f>
        <v>20.48</v>
      </c>
      <c r="G50" s="36"/>
      <c r="H50" s="36"/>
      <c r="I50" s="36"/>
      <c r="J50" s="36"/>
      <c r="K50" s="12"/>
      <c r="L50" s="15"/>
      <c r="M50" s="13"/>
      <c r="N50" s="13"/>
    </row>
    <row r="51" spans="1:14" hidden="1" outlineLevel="1" x14ac:dyDescent="0.25">
      <c r="A51" s="1" t="str">
        <f>IF(L51="","",MAX($A$1:$A50)+1)</f>
        <v/>
      </c>
      <c r="B51" s="12"/>
      <c r="C51" s="81"/>
      <c r="D51" s="35" t="s">
        <v>126</v>
      </c>
      <c r="E51" s="36" t="s">
        <v>18</v>
      </c>
      <c r="F51" s="36">
        <f>4*11.7</f>
        <v>46.8</v>
      </c>
      <c r="G51" s="36"/>
      <c r="H51" s="36"/>
      <c r="I51" s="36"/>
      <c r="J51" s="36"/>
      <c r="K51" s="12"/>
      <c r="L51" s="15"/>
      <c r="M51" s="13"/>
      <c r="N51" s="13"/>
    </row>
    <row r="52" spans="1:14" hidden="1" outlineLevel="1" x14ac:dyDescent="0.25">
      <c r="A52" s="1" t="str">
        <f>IF(L52="","",MAX($A$1:$A51)+1)</f>
        <v/>
      </c>
      <c r="B52" s="12"/>
      <c r="C52" s="81"/>
      <c r="D52" s="35"/>
      <c r="E52" s="36"/>
      <c r="F52" s="36">
        <v>0.22</v>
      </c>
      <c r="G52" s="36" t="s">
        <v>18</v>
      </c>
      <c r="H52" s="36">
        <f>SUM(F50:F52)</f>
        <v>67.5</v>
      </c>
      <c r="I52" s="36"/>
      <c r="J52" s="36"/>
      <c r="K52" s="12"/>
      <c r="L52" s="15"/>
      <c r="M52" s="13"/>
      <c r="N52" s="13"/>
    </row>
    <row r="53" spans="1:14" collapsed="1" x14ac:dyDescent="0.25">
      <c r="A53" s="1">
        <f>IF(L53="","",MAX($A$1:$A52)+1)</f>
        <v>13</v>
      </c>
      <c r="B53" s="12" t="s">
        <v>232</v>
      </c>
      <c r="C53" s="81" t="s">
        <v>127</v>
      </c>
      <c r="D53" s="35" t="s">
        <v>128</v>
      </c>
      <c r="E53" s="36" t="s">
        <v>18</v>
      </c>
      <c r="F53" s="36">
        <f>8*2*1.28</f>
        <v>20.48</v>
      </c>
      <c r="G53" s="36" t="s">
        <v>19</v>
      </c>
      <c r="H53" s="36">
        <v>0.52</v>
      </c>
      <c r="I53" s="36" t="s">
        <v>18</v>
      </c>
      <c r="J53" s="36">
        <f>SUM(F53:H53)</f>
        <v>21</v>
      </c>
      <c r="K53" s="12" t="s">
        <v>5</v>
      </c>
      <c r="L53" s="15">
        <v>21</v>
      </c>
      <c r="M53" s="13"/>
      <c r="N53" s="13">
        <f>M53*L53</f>
        <v>0</v>
      </c>
    </row>
    <row r="54" spans="1:14" x14ac:dyDescent="0.25">
      <c r="A54" s="1">
        <f>IF(L54="","",MAX($A$1:$A53)+1)</f>
        <v>14</v>
      </c>
      <c r="B54" s="12" t="s">
        <v>232</v>
      </c>
      <c r="C54" s="81" t="s">
        <v>136</v>
      </c>
      <c r="D54" s="35"/>
      <c r="E54" s="36"/>
      <c r="F54" s="36"/>
      <c r="G54" s="36"/>
      <c r="H54" s="36"/>
      <c r="I54" s="36"/>
      <c r="J54" s="36"/>
      <c r="K54" s="12" t="s">
        <v>5</v>
      </c>
      <c r="L54" s="15">
        <v>69</v>
      </c>
      <c r="M54" s="13"/>
      <c r="N54" s="13">
        <f>M54*L54</f>
        <v>0</v>
      </c>
    </row>
    <row r="55" spans="1:14" hidden="1" outlineLevel="1" x14ac:dyDescent="0.25">
      <c r="A55" s="1" t="str">
        <f>IF(L55="","",MAX($A$1:$A54)+1)</f>
        <v/>
      </c>
      <c r="B55" s="12"/>
      <c r="C55" s="81"/>
      <c r="D55" s="35" t="s">
        <v>177</v>
      </c>
      <c r="E55" s="36" t="s">
        <v>18</v>
      </c>
      <c r="F55" s="36">
        <f>2*(1+0.9+1.1+0.5+1.2+0.5+1.3+0.7+1.5+0.75)</f>
        <v>18.899999999999999</v>
      </c>
      <c r="G55" s="36"/>
      <c r="H55" s="36"/>
      <c r="I55" s="36"/>
      <c r="J55" s="36"/>
      <c r="K55" s="12"/>
      <c r="L55" s="12"/>
      <c r="M55" s="13"/>
      <c r="N55" s="13"/>
    </row>
    <row r="56" spans="1:14" hidden="1" outlineLevel="1" x14ac:dyDescent="0.25">
      <c r="A56" s="1" t="str">
        <f>IF(L56="","",MAX($A$1:$A55)+1)</f>
        <v/>
      </c>
      <c r="B56" s="12"/>
      <c r="C56" s="81"/>
      <c r="D56" s="35" t="s">
        <v>178</v>
      </c>
      <c r="E56" s="36" t="s">
        <v>18</v>
      </c>
      <c r="F56" s="36">
        <f>2*(12.35+12.5)</f>
        <v>49.7</v>
      </c>
      <c r="G56" s="36"/>
      <c r="H56" s="36"/>
      <c r="I56" s="36"/>
      <c r="J56" s="36"/>
      <c r="K56" s="12"/>
      <c r="L56" s="12"/>
      <c r="M56" s="13"/>
      <c r="N56" s="13"/>
    </row>
    <row r="57" spans="1:14" hidden="1" outlineLevel="1" x14ac:dyDescent="0.25">
      <c r="A57" s="1" t="str">
        <f>IF(L57="","",MAX($A$1:$A56)+1)</f>
        <v/>
      </c>
      <c r="B57" s="12"/>
      <c r="C57" s="81"/>
      <c r="D57" s="35"/>
      <c r="E57" s="36"/>
      <c r="F57" s="36">
        <v>0.4</v>
      </c>
      <c r="G57" s="36" t="s">
        <v>18</v>
      </c>
      <c r="H57" s="36">
        <f>SUM(F55:F57)</f>
        <v>69</v>
      </c>
      <c r="I57" s="36"/>
      <c r="J57" s="36"/>
      <c r="K57" s="12"/>
      <c r="L57" s="12"/>
      <c r="M57" s="13"/>
      <c r="N57" s="13"/>
    </row>
    <row r="58" spans="1:14" ht="22.5" collapsed="1" x14ac:dyDescent="0.25">
      <c r="A58" s="1">
        <f>IF(L58="","",MAX($A$1:$A57)+1)</f>
        <v>15</v>
      </c>
      <c r="B58" s="12" t="s">
        <v>232</v>
      </c>
      <c r="C58" s="81" t="s">
        <v>179</v>
      </c>
      <c r="D58" s="35" t="s">
        <v>140</v>
      </c>
      <c r="E58" s="36"/>
      <c r="F58" s="36"/>
      <c r="G58" s="36"/>
      <c r="H58" s="36"/>
      <c r="I58" s="36"/>
      <c r="J58" s="36"/>
      <c r="K58" s="12" t="s">
        <v>4</v>
      </c>
      <c r="L58" s="12">
        <v>1</v>
      </c>
      <c r="M58" s="13"/>
      <c r="N58" s="13">
        <f>M58*L58</f>
        <v>0</v>
      </c>
    </row>
    <row r="59" spans="1:14" x14ac:dyDescent="0.25">
      <c r="A59" s="1">
        <f>IF(L59="","",MAX($A$1:$A58)+1)</f>
        <v>16</v>
      </c>
      <c r="B59" s="12" t="s">
        <v>232</v>
      </c>
      <c r="C59" s="81" t="s">
        <v>181</v>
      </c>
      <c r="D59" s="35" t="s">
        <v>180</v>
      </c>
      <c r="E59" s="36" t="s">
        <v>18</v>
      </c>
      <c r="F59" s="36">
        <f>(12.95*2+12.5*2)*0.4</f>
        <v>20.36</v>
      </c>
      <c r="G59" s="36" t="s">
        <v>19</v>
      </c>
      <c r="H59" s="36">
        <v>0.64</v>
      </c>
      <c r="I59" s="36" t="s">
        <v>18</v>
      </c>
      <c r="J59" s="36">
        <f>SUM(F59:H59)</f>
        <v>21</v>
      </c>
      <c r="K59" s="12" t="s">
        <v>7</v>
      </c>
      <c r="L59" s="15">
        <v>21</v>
      </c>
      <c r="M59" s="13"/>
      <c r="N59" s="13">
        <f>M59*L59</f>
        <v>0</v>
      </c>
    </row>
    <row r="60" spans="1:14" x14ac:dyDescent="0.25">
      <c r="A60" s="1">
        <f>IF(L60="","",MAX($A$1:$A59)+1)</f>
        <v>17</v>
      </c>
      <c r="B60" s="12" t="s">
        <v>232</v>
      </c>
      <c r="C60" s="81" t="s">
        <v>182</v>
      </c>
      <c r="D60" s="35" t="s">
        <v>225</v>
      </c>
      <c r="E60" s="36" t="s">
        <v>18</v>
      </c>
      <c r="F60" s="48">
        <f>1.8*0.8*1/COS(RADIANS(55.41))+4*0.8*1/COS(RADIANS(55.1))</f>
        <v>8.1300000000000008</v>
      </c>
      <c r="G60" s="36" t="s">
        <v>19</v>
      </c>
      <c r="H60" s="36">
        <v>0.37</v>
      </c>
      <c r="I60" s="36" t="s">
        <v>18</v>
      </c>
      <c r="J60" s="48">
        <f>SUM(F60:H60)</f>
        <v>8.5</v>
      </c>
      <c r="K60" s="12" t="s">
        <v>7</v>
      </c>
      <c r="L60" s="15">
        <v>8.5</v>
      </c>
      <c r="M60" s="13"/>
      <c r="N60" s="13">
        <f t="shared" ref="N60:N69" si="1">M60*L60</f>
        <v>0</v>
      </c>
    </row>
    <row r="61" spans="1:14" x14ac:dyDescent="0.25">
      <c r="A61" s="1">
        <f>IF(L61="","",MAX($A$1:$A60)+1)</f>
        <v>18</v>
      </c>
      <c r="B61" s="12" t="s">
        <v>232</v>
      </c>
      <c r="C61" s="81" t="s">
        <v>184</v>
      </c>
      <c r="D61" s="35"/>
      <c r="E61" s="36"/>
      <c r="F61" s="36"/>
      <c r="G61" s="36"/>
      <c r="H61" s="36"/>
      <c r="I61" s="36"/>
      <c r="J61" s="36"/>
      <c r="K61" s="12" t="s">
        <v>5</v>
      </c>
      <c r="L61" s="15">
        <v>68</v>
      </c>
      <c r="M61" s="13"/>
      <c r="N61" s="13">
        <f t="shared" si="1"/>
        <v>0</v>
      </c>
    </row>
    <row r="62" spans="1:14" hidden="1" outlineLevel="1" x14ac:dyDescent="0.25">
      <c r="A62" s="1" t="str">
        <f>IF(L62="","",MAX($A$1:$A61)+1)</f>
        <v/>
      </c>
      <c r="B62" s="12"/>
      <c r="C62" s="86" t="s">
        <v>185</v>
      </c>
      <c r="D62" s="35" t="s">
        <v>186</v>
      </c>
      <c r="E62" s="36" t="s">
        <v>18</v>
      </c>
      <c r="F62" s="36">
        <f>2*3*(1.7+2*1.6)+1*(1.6*2+1.55)</f>
        <v>34.15</v>
      </c>
      <c r="G62" s="36"/>
      <c r="H62" s="36"/>
      <c r="I62" s="36"/>
      <c r="J62" s="36"/>
      <c r="K62" s="12"/>
      <c r="L62" s="12"/>
      <c r="M62" s="13"/>
      <c r="N62" s="13">
        <f t="shared" si="1"/>
        <v>0</v>
      </c>
    </row>
    <row r="63" spans="1:14" hidden="1" outlineLevel="1" x14ac:dyDescent="0.25">
      <c r="A63" s="1" t="str">
        <f>IF(L63="","",MAX($A$1:$A62)+1)</f>
        <v/>
      </c>
      <c r="B63" s="12"/>
      <c r="C63" s="81"/>
      <c r="D63" s="35" t="s">
        <v>187</v>
      </c>
      <c r="E63" s="36" t="s">
        <v>18</v>
      </c>
      <c r="F63" s="36">
        <f>4*(2*1.4+1.6)+4*(2*1.2+1.6)</f>
        <v>33.6</v>
      </c>
      <c r="G63" s="36"/>
      <c r="H63" s="36"/>
      <c r="I63" s="36"/>
      <c r="J63" s="36"/>
      <c r="K63" s="12"/>
      <c r="L63" s="12"/>
      <c r="M63" s="13"/>
      <c r="N63" s="13">
        <f t="shared" si="1"/>
        <v>0</v>
      </c>
    </row>
    <row r="64" spans="1:14" hidden="1" outlineLevel="1" x14ac:dyDescent="0.25">
      <c r="A64" s="1" t="str">
        <f>IF(L64="","",MAX($A$1:$A63)+1)</f>
        <v/>
      </c>
      <c r="B64" s="12"/>
      <c r="C64" s="81"/>
      <c r="D64" s="35"/>
      <c r="E64" s="36"/>
      <c r="F64" s="36">
        <v>0.25</v>
      </c>
      <c r="G64" s="36" t="s">
        <v>18</v>
      </c>
      <c r="H64" s="36">
        <f>SUM(F62:F64)</f>
        <v>68</v>
      </c>
      <c r="I64" s="36"/>
      <c r="J64" s="36"/>
      <c r="K64" s="12"/>
      <c r="L64" s="12"/>
      <c r="M64" s="13"/>
      <c r="N64" s="13">
        <f t="shared" si="1"/>
        <v>0</v>
      </c>
    </row>
    <row r="65" spans="1:14" collapsed="1" x14ac:dyDescent="0.25">
      <c r="A65" s="1">
        <f>IF(L65="","",MAX($A$1:$A64)+1)</f>
        <v>19</v>
      </c>
      <c r="B65" s="12" t="s">
        <v>232</v>
      </c>
      <c r="C65" s="81" t="s">
        <v>188</v>
      </c>
      <c r="D65" s="35" t="s">
        <v>189</v>
      </c>
      <c r="E65" s="36" t="s">
        <v>18</v>
      </c>
      <c r="F65" s="36">
        <f>J94</f>
        <v>22</v>
      </c>
      <c r="G65" s="36"/>
      <c r="H65" s="36"/>
      <c r="I65" s="36"/>
      <c r="J65" s="36"/>
      <c r="K65" s="12" t="s">
        <v>5</v>
      </c>
      <c r="L65" s="15">
        <v>22</v>
      </c>
      <c r="M65" s="13"/>
      <c r="N65" s="13">
        <f t="shared" si="1"/>
        <v>0</v>
      </c>
    </row>
    <row r="66" spans="1:14" x14ac:dyDescent="0.25">
      <c r="A66" s="1">
        <f>IF(L66="","",MAX($A$1:$A65)+1)</f>
        <v>20</v>
      </c>
      <c r="B66" s="12" t="s">
        <v>232</v>
      </c>
      <c r="C66" s="81" t="s">
        <v>288</v>
      </c>
      <c r="D66" s="35"/>
      <c r="E66" s="36" t="s">
        <v>18</v>
      </c>
      <c r="F66" s="48">
        <f>J65</f>
        <v>0</v>
      </c>
      <c r="G66" s="36"/>
      <c r="H66" s="36"/>
      <c r="I66" s="36"/>
      <c r="J66" s="36"/>
      <c r="K66" s="12" t="s">
        <v>5</v>
      </c>
      <c r="L66" s="15">
        <v>10.5</v>
      </c>
      <c r="M66" s="13"/>
      <c r="N66" s="13">
        <f t="shared" si="1"/>
        <v>0</v>
      </c>
    </row>
    <row r="67" spans="1:14" x14ac:dyDescent="0.25">
      <c r="A67" s="1">
        <f>IF(L67="","",MAX($A$1:$A66)+1)</f>
        <v>21</v>
      </c>
      <c r="B67" s="12" t="s">
        <v>232</v>
      </c>
      <c r="C67" s="81" t="s">
        <v>190</v>
      </c>
      <c r="D67" s="35" t="s">
        <v>183</v>
      </c>
      <c r="E67" s="36" t="s">
        <v>18</v>
      </c>
      <c r="F67" s="48">
        <f>1.8*1/COS(RADIANS(55.41))+4*1/COS(RADIANS(55.1))</f>
        <v>10.16</v>
      </c>
      <c r="G67" s="36" t="s">
        <v>19</v>
      </c>
      <c r="H67" s="36">
        <v>0.34</v>
      </c>
      <c r="I67" s="36" t="s">
        <v>18</v>
      </c>
      <c r="J67" s="36">
        <f>SUM(F67:H67)</f>
        <v>10.5</v>
      </c>
      <c r="K67" s="12" t="s">
        <v>5</v>
      </c>
      <c r="L67" s="15">
        <v>10.5</v>
      </c>
      <c r="M67" s="13"/>
      <c r="N67" s="13">
        <f t="shared" si="1"/>
        <v>0</v>
      </c>
    </row>
    <row r="68" spans="1:14" x14ac:dyDescent="0.25">
      <c r="A68" s="1"/>
      <c r="B68" s="12"/>
      <c r="C68" s="81"/>
      <c r="D68" s="35"/>
      <c r="E68" s="36"/>
      <c r="F68" s="48"/>
      <c r="G68" s="36"/>
      <c r="H68" s="36"/>
      <c r="I68" s="36"/>
      <c r="J68" s="36"/>
      <c r="K68" s="12"/>
      <c r="L68" s="15"/>
      <c r="M68" s="13"/>
      <c r="N68" s="13"/>
    </row>
    <row r="69" spans="1:14" s="8" customFormat="1" x14ac:dyDescent="0.25">
      <c r="A69" s="1">
        <f>IF(L69="","",MAX($A$1:$A67)+1)</f>
        <v>22</v>
      </c>
      <c r="B69" s="12" t="s">
        <v>232</v>
      </c>
      <c r="C69" s="81" t="s">
        <v>191</v>
      </c>
      <c r="D69" s="74" t="s">
        <v>53</v>
      </c>
      <c r="E69" s="75"/>
      <c r="F69" s="75"/>
      <c r="G69" s="75"/>
      <c r="H69" s="75"/>
      <c r="I69" s="75"/>
      <c r="J69" s="75"/>
      <c r="K69" s="16" t="s">
        <v>1</v>
      </c>
      <c r="L69" s="16">
        <v>1</v>
      </c>
      <c r="M69" s="27"/>
      <c r="N69" s="27">
        <f t="shared" si="1"/>
        <v>0</v>
      </c>
    </row>
    <row r="70" spans="1:14" x14ac:dyDescent="0.25">
      <c r="A70" s="1" t="str">
        <f>IF(L70="","",MAX($A$1:$A69)+1)</f>
        <v/>
      </c>
      <c r="B70" s="12"/>
      <c r="C70" s="81"/>
      <c r="D70" s="35"/>
      <c r="E70" s="36"/>
      <c r="F70" s="36"/>
      <c r="G70" s="36"/>
      <c r="H70" s="36"/>
      <c r="I70" s="36"/>
      <c r="J70" s="36"/>
      <c r="K70" s="12"/>
      <c r="L70" s="12"/>
      <c r="M70" s="13"/>
      <c r="N70" s="13"/>
    </row>
    <row r="71" spans="1:14" ht="22.5" x14ac:dyDescent="0.25">
      <c r="A71" s="1">
        <f>IF(L71="","",MAX($A$1:$A70)+1)</f>
        <v>23</v>
      </c>
      <c r="B71" s="12" t="s">
        <v>233</v>
      </c>
      <c r="C71" s="81" t="s">
        <v>194</v>
      </c>
      <c r="D71" s="35" t="s">
        <v>195</v>
      </c>
      <c r="E71" s="36" t="s">
        <v>18</v>
      </c>
      <c r="F71" s="48">
        <f>H25</f>
        <v>282</v>
      </c>
      <c r="G71" s="36"/>
      <c r="H71" s="36"/>
      <c r="I71" s="36"/>
      <c r="J71" s="36"/>
      <c r="K71" s="12" t="s">
        <v>7</v>
      </c>
      <c r="L71" s="15">
        <v>282</v>
      </c>
      <c r="M71" s="13"/>
      <c r="N71" s="13">
        <f>M71*L71</f>
        <v>0</v>
      </c>
    </row>
    <row r="72" spans="1:14" ht="22.5" x14ac:dyDescent="0.25">
      <c r="A72" s="1">
        <f>IF(L72="","",MAX($A$1:$A71)+1)</f>
        <v>24</v>
      </c>
      <c r="B72" s="12" t="s">
        <v>236</v>
      </c>
      <c r="C72" s="81" t="s">
        <v>196</v>
      </c>
      <c r="D72" s="35"/>
      <c r="E72" s="36"/>
      <c r="F72" s="36"/>
      <c r="G72" s="36"/>
      <c r="H72" s="36"/>
      <c r="I72" s="36"/>
      <c r="J72" s="36"/>
      <c r="K72" s="12" t="s">
        <v>7</v>
      </c>
      <c r="L72" s="15">
        <v>268</v>
      </c>
      <c r="M72" s="13"/>
      <c r="N72" s="13">
        <f>M72*L72</f>
        <v>0</v>
      </c>
    </row>
    <row r="73" spans="1:14" ht="45" hidden="1" outlineLevel="1" x14ac:dyDescent="0.25">
      <c r="A73" s="1" t="str">
        <f>IF(L73="","",MAX($A$1:$A72)+1)</f>
        <v/>
      </c>
      <c r="B73" s="130"/>
      <c r="C73" s="81"/>
      <c r="D73" s="50" t="s">
        <v>197</v>
      </c>
      <c r="E73" s="36" t="s">
        <v>18</v>
      </c>
      <c r="F73" s="48">
        <f>SUM(F27:F31)-F28+((12.15+2.45)/2*6.07-(6.07*0.8+0.8*0.95+0.4*0.5+2*0.3*0.45+2*(1.4*0.85+0.7*1.4/2)))*1/COS(RADIANS(55.1))</f>
        <v>267.7</v>
      </c>
      <c r="G73" s="36" t="s">
        <v>19</v>
      </c>
      <c r="H73" s="36">
        <v>0.3</v>
      </c>
      <c r="I73" s="36" t="s">
        <v>18</v>
      </c>
      <c r="J73" s="48">
        <f>SUM(F73:H73)</f>
        <v>268</v>
      </c>
      <c r="K73" s="12"/>
      <c r="L73" s="15"/>
      <c r="M73" s="13"/>
      <c r="N73" s="13"/>
    </row>
    <row r="74" spans="1:14" collapsed="1" x14ac:dyDescent="0.25">
      <c r="A74" s="1">
        <f>IF(L74="","",MAX($A$1:$A73)+1)</f>
        <v>25</v>
      </c>
      <c r="B74" s="12" t="s">
        <v>236</v>
      </c>
      <c r="C74" s="81" t="s">
        <v>198</v>
      </c>
      <c r="D74" s="35"/>
      <c r="E74" s="36"/>
      <c r="F74" s="48"/>
      <c r="G74" s="36"/>
      <c r="H74" s="36"/>
      <c r="I74" s="36"/>
      <c r="J74" s="48"/>
      <c r="K74" s="12" t="s">
        <v>5</v>
      </c>
      <c r="L74" s="15">
        <v>39</v>
      </c>
      <c r="M74" s="13"/>
      <c r="N74" s="13">
        <f>M74*L74</f>
        <v>0</v>
      </c>
    </row>
    <row r="75" spans="1:14" ht="33.75" hidden="1" outlineLevel="1" x14ac:dyDescent="0.25">
      <c r="A75" s="1" t="str">
        <f>IF(L75="","",MAX($A$1:$A74)+1)</f>
        <v/>
      </c>
      <c r="B75" s="130"/>
      <c r="C75" s="81"/>
      <c r="D75" s="50" t="s">
        <v>199</v>
      </c>
      <c r="E75" s="36" t="s">
        <v>18</v>
      </c>
      <c r="F75" s="48">
        <f>2*(12.15+12.5)-4*1.4-4*1.2</f>
        <v>38.9</v>
      </c>
      <c r="G75" s="36" t="s">
        <v>19</v>
      </c>
      <c r="H75" s="36">
        <v>0.1</v>
      </c>
      <c r="I75" s="36" t="s">
        <v>18</v>
      </c>
      <c r="J75" s="48">
        <f>SUM(F75:H75)</f>
        <v>39</v>
      </c>
      <c r="K75" s="12"/>
      <c r="L75" s="15"/>
      <c r="M75" s="13"/>
      <c r="N75" s="13"/>
    </row>
    <row r="76" spans="1:14" collapsed="1" x14ac:dyDescent="0.25">
      <c r="A76" s="1">
        <f>IF(L76="","",MAX($A$1:$A75)+1)</f>
        <v>26</v>
      </c>
      <c r="B76" s="12" t="s">
        <v>236</v>
      </c>
      <c r="C76" s="81" t="s">
        <v>224</v>
      </c>
      <c r="D76" s="35" t="s">
        <v>212</v>
      </c>
      <c r="E76" s="36"/>
      <c r="F76" s="36"/>
      <c r="G76" s="36"/>
      <c r="H76" s="36"/>
      <c r="I76" s="36"/>
      <c r="J76" s="36"/>
      <c r="K76" s="12" t="s">
        <v>1</v>
      </c>
      <c r="L76" s="12">
        <v>8</v>
      </c>
      <c r="M76" s="13"/>
      <c r="N76" s="13">
        <f t="shared" ref="N76:N77" si="2">M76*L76</f>
        <v>0</v>
      </c>
    </row>
    <row r="77" spans="1:14" x14ac:dyDescent="0.25">
      <c r="A77" s="1">
        <f>IF(L77="","",MAX($A$1:$A76)+1)</f>
        <v>27</v>
      </c>
      <c r="B77" s="12" t="s">
        <v>236</v>
      </c>
      <c r="C77" s="81" t="s">
        <v>213</v>
      </c>
      <c r="D77" s="35" t="s">
        <v>53</v>
      </c>
      <c r="E77" s="36"/>
      <c r="F77" s="36"/>
      <c r="G77" s="36"/>
      <c r="H77" s="36"/>
      <c r="I77" s="36"/>
      <c r="J77" s="36"/>
      <c r="K77" s="12" t="s">
        <v>1</v>
      </c>
      <c r="L77" s="12">
        <v>2</v>
      </c>
      <c r="M77" s="13"/>
      <c r="N77" s="13">
        <f t="shared" si="2"/>
        <v>0</v>
      </c>
    </row>
    <row r="78" spans="1:14" x14ac:dyDescent="0.25">
      <c r="A78" s="1">
        <f>IF(L78="","",MAX($A$1:$A77)+1)</f>
        <v>28</v>
      </c>
      <c r="B78" s="12" t="s">
        <v>263</v>
      </c>
      <c r="C78" s="81" t="s">
        <v>148</v>
      </c>
      <c r="D78" s="35" t="s">
        <v>149</v>
      </c>
      <c r="E78" s="36" t="s">
        <v>18</v>
      </c>
      <c r="F78" s="36">
        <f>$J$53</f>
        <v>21</v>
      </c>
      <c r="G78" s="36"/>
      <c r="H78" s="36"/>
      <c r="I78" s="36"/>
      <c r="J78" s="36"/>
      <c r="K78" s="12" t="s">
        <v>5</v>
      </c>
      <c r="L78" s="15">
        <v>21</v>
      </c>
      <c r="M78" s="13"/>
      <c r="N78" s="13">
        <f t="shared" ref="N78" si="3">M78*L78</f>
        <v>0</v>
      </c>
    </row>
    <row r="79" spans="1:14" x14ac:dyDescent="0.25">
      <c r="A79" s="1">
        <f>IF(L79="","",MAX($A$1:$A78)+1)</f>
        <v>29</v>
      </c>
      <c r="B79" s="12" t="s">
        <v>259</v>
      </c>
      <c r="C79" s="81" t="s">
        <v>144</v>
      </c>
      <c r="D79" s="35" t="s">
        <v>145</v>
      </c>
      <c r="E79" s="36" t="s">
        <v>18</v>
      </c>
      <c r="F79" s="36">
        <f>$H$52</f>
        <v>67.5</v>
      </c>
      <c r="G79" s="36"/>
      <c r="H79" s="36"/>
      <c r="I79" s="36"/>
      <c r="J79" s="36"/>
      <c r="K79" s="12" t="s">
        <v>5</v>
      </c>
      <c r="L79" s="15">
        <v>67.5</v>
      </c>
      <c r="M79" s="13"/>
      <c r="N79" s="13">
        <f t="shared" ref="N79:N80" si="4">M79*L79</f>
        <v>0</v>
      </c>
    </row>
    <row r="80" spans="1:14" x14ac:dyDescent="0.25">
      <c r="A80" s="1">
        <f>IF(L80="","",MAX($A$1:$A79)+1)</f>
        <v>30</v>
      </c>
      <c r="B80" s="12" t="s">
        <v>260</v>
      </c>
      <c r="C80" s="81" t="s">
        <v>146</v>
      </c>
      <c r="D80" s="35" t="s">
        <v>147</v>
      </c>
      <c r="E80" s="36" t="s">
        <v>18</v>
      </c>
      <c r="F80" s="36">
        <f>$H$48</f>
        <v>13</v>
      </c>
      <c r="G80" s="36"/>
      <c r="H80" s="36"/>
      <c r="I80" s="36"/>
      <c r="J80" s="36"/>
      <c r="K80" s="12" t="s">
        <v>5</v>
      </c>
      <c r="L80" s="15">
        <v>13</v>
      </c>
      <c r="M80" s="13"/>
      <c r="N80" s="13">
        <f t="shared" si="4"/>
        <v>0</v>
      </c>
    </row>
    <row r="81" spans="1:14" x14ac:dyDescent="0.25">
      <c r="A81" s="1">
        <f>IF(L81="","",MAX($A$1:$A80)+1)</f>
        <v>31</v>
      </c>
      <c r="B81" s="12" t="s">
        <v>241</v>
      </c>
      <c r="C81" s="81" t="s">
        <v>192</v>
      </c>
      <c r="D81" s="35" t="s">
        <v>193</v>
      </c>
      <c r="E81" s="36" t="s">
        <v>18</v>
      </c>
      <c r="F81" s="48">
        <f>$L$33</f>
        <v>256</v>
      </c>
      <c r="G81" s="36"/>
      <c r="H81" s="36"/>
      <c r="I81" s="36"/>
      <c r="J81" s="36"/>
      <c r="K81" s="12" t="s">
        <v>5</v>
      </c>
      <c r="L81" s="15">
        <v>256</v>
      </c>
      <c r="M81" s="13"/>
      <c r="N81" s="13">
        <f>M81*L81</f>
        <v>0</v>
      </c>
    </row>
    <row r="82" spans="1:14" x14ac:dyDescent="0.25">
      <c r="A82" s="1">
        <f>IF(L82="","",MAX($A$1:$A81)+1)</f>
        <v>32</v>
      </c>
      <c r="B82" s="12" t="s">
        <v>241</v>
      </c>
      <c r="C82" s="62" t="s">
        <v>277</v>
      </c>
      <c r="D82" s="35" t="s">
        <v>155</v>
      </c>
      <c r="E82" s="36" t="s">
        <v>18</v>
      </c>
      <c r="F82" s="36">
        <f>H39</f>
        <v>256</v>
      </c>
      <c r="G82" s="36"/>
      <c r="H82" s="36"/>
      <c r="I82" s="36"/>
      <c r="J82" s="36"/>
      <c r="K82" s="12" t="s">
        <v>5</v>
      </c>
      <c r="L82" s="15">
        <v>256</v>
      </c>
      <c r="M82" s="13"/>
      <c r="N82" s="13">
        <f>M82*L82</f>
        <v>0</v>
      </c>
    </row>
    <row r="83" spans="1:14" x14ac:dyDescent="0.25">
      <c r="A83" s="1">
        <f>IF(L83="","",MAX($A$1:$A82)+1)</f>
        <v>33</v>
      </c>
      <c r="B83" s="12" t="s">
        <v>241</v>
      </c>
      <c r="C83" s="81" t="s">
        <v>200</v>
      </c>
      <c r="D83" s="50"/>
      <c r="E83" s="36" t="s">
        <v>18</v>
      </c>
      <c r="F83" s="48">
        <f>J40</f>
        <v>11</v>
      </c>
      <c r="G83" s="36"/>
      <c r="H83" s="36"/>
      <c r="I83" s="36"/>
      <c r="J83" s="36"/>
      <c r="K83" s="12" t="s">
        <v>7</v>
      </c>
      <c r="L83" s="15">
        <v>11</v>
      </c>
      <c r="M83" s="13"/>
      <c r="N83" s="13">
        <f>M83*L83</f>
        <v>0</v>
      </c>
    </row>
    <row r="84" spans="1:14" x14ac:dyDescent="0.25">
      <c r="A84" s="1">
        <f>IF(L84="","",MAX($A$1:$A83)+1)</f>
        <v>34</v>
      </c>
      <c r="B84" s="12" t="s">
        <v>241</v>
      </c>
      <c r="C84" s="81" t="s">
        <v>201</v>
      </c>
      <c r="D84" s="36" t="s">
        <v>5</v>
      </c>
      <c r="E84" s="36" t="s">
        <v>18</v>
      </c>
      <c r="F84" s="36">
        <f>8*1.8</f>
        <v>14.4</v>
      </c>
      <c r="G84" s="36"/>
      <c r="H84" s="36"/>
      <c r="I84" s="36"/>
      <c r="J84" s="36"/>
      <c r="K84" s="12" t="s">
        <v>1</v>
      </c>
      <c r="L84" s="15">
        <v>8</v>
      </c>
      <c r="M84" s="13"/>
      <c r="N84" s="13">
        <f t="shared" ref="N84:N97" si="5">M84*L84</f>
        <v>0</v>
      </c>
    </row>
    <row r="85" spans="1:14" x14ac:dyDescent="0.25">
      <c r="A85" s="1">
        <f>IF(L85="","",MAX($A$1:$A84)+1)</f>
        <v>35</v>
      </c>
      <c r="B85" s="12" t="s">
        <v>241</v>
      </c>
      <c r="C85" s="81" t="s">
        <v>202</v>
      </c>
      <c r="D85" s="36"/>
      <c r="E85" s="36"/>
      <c r="F85" s="48"/>
      <c r="G85" s="36"/>
      <c r="H85" s="36"/>
      <c r="I85" s="36"/>
      <c r="J85" s="36"/>
      <c r="K85" s="12" t="s">
        <v>1</v>
      </c>
      <c r="L85" s="15">
        <v>8</v>
      </c>
      <c r="M85" s="13"/>
      <c r="N85" s="13">
        <f t="shared" si="5"/>
        <v>0</v>
      </c>
    </row>
    <row r="86" spans="1:14" x14ac:dyDescent="0.25">
      <c r="A86" s="1">
        <f>IF(L86="","",MAX($A$1:$A85)+1)</f>
        <v>36</v>
      </c>
      <c r="B86" s="12" t="s">
        <v>241</v>
      </c>
      <c r="C86" s="81" t="s">
        <v>203</v>
      </c>
      <c r="D86" s="50" t="s">
        <v>204</v>
      </c>
      <c r="E86" s="36" t="s">
        <v>18</v>
      </c>
      <c r="F86" s="48">
        <f>J44</f>
        <v>50</v>
      </c>
      <c r="G86" s="36"/>
      <c r="H86" s="36"/>
      <c r="I86" s="36"/>
      <c r="J86" s="48"/>
      <c r="K86" s="12" t="s">
        <v>5</v>
      </c>
      <c r="L86" s="15">
        <v>50</v>
      </c>
      <c r="M86" s="13"/>
      <c r="N86" s="13">
        <f t="shared" si="5"/>
        <v>0</v>
      </c>
    </row>
    <row r="87" spans="1:14" x14ac:dyDescent="0.25">
      <c r="A87" s="1">
        <f>IF(L87="","",MAX($A$1:$A86)+1)</f>
        <v>37</v>
      </c>
      <c r="B87" s="107" t="s">
        <v>241</v>
      </c>
      <c r="C87" s="62" t="s">
        <v>151</v>
      </c>
      <c r="D87" s="50"/>
      <c r="E87" s="36" t="s">
        <v>18</v>
      </c>
      <c r="F87" s="48">
        <f>J56</f>
        <v>0</v>
      </c>
      <c r="G87" s="36"/>
      <c r="H87" s="36"/>
      <c r="I87" s="36"/>
      <c r="J87" s="36"/>
      <c r="K87" s="12" t="s">
        <v>7</v>
      </c>
      <c r="L87" s="15">
        <v>10</v>
      </c>
      <c r="M87" s="13"/>
      <c r="N87" s="13">
        <f t="shared" si="5"/>
        <v>0</v>
      </c>
    </row>
    <row r="88" spans="1:14" ht="22.5" x14ac:dyDescent="0.25">
      <c r="A88" s="1">
        <f>IF(L88="","",MAX($A$1:$A87)+1)</f>
        <v>38</v>
      </c>
      <c r="B88" s="12" t="s">
        <v>241</v>
      </c>
      <c r="C88" s="81" t="s">
        <v>251</v>
      </c>
      <c r="D88" s="35"/>
      <c r="E88" s="36"/>
      <c r="F88" s="36"/>
      <c r="G88" s="36"/>
      <c r="H88" s="36"/>
      <c r="I88" s="36"/>
      <c r="J88" s="36"/>
      <c r="K88" s="12" t="s">
        <v>153</v>
      </c>
      <c r="L88" s="15">
        <v>12</v>
      </c>
      <c r="M88" s="13"/>
      <c r="N88" s="13">
        <f t="shared" ref="N88:N89" si="6">M88*L88</f>
        <v>0</v>
      </c>
    </row>
    <row r="89" spans="1:14" x14ac:dyDescent="0.25">
      <c r="A89" s="1">
        <f>IF(L89="","",MAX($A$1:$A88)+1)</f>
        <v>39</v>
      </c>
      <c r="B89" s="12" t="s">
        <v>267</v>
      </c>
      <c r="C89" s="81" t="s">
        <v>206</v>
      </c>
      <c r="D89" s="35" t="s">
        <v>207</v>
      </c>
      <c r="E89" s="36" t="s">
        <v>18</v>
      </c>
      <c r="F89" s="48">
        <f>$L$59</f>
        <v>21</v>
      </c>
      <c r="G89" s="36"/>
      <c r="H89" s="36"/>
      <c r="I89" s="36"/>
      <c r="J89" s="36"/>
      <c r="K89" s="12" t="s">
        <v>7</v>
      </c>
      <c r="L89" s="15">
        <v>21</v>
      </c>
      <c r="M89" s="13"/>
      <c r="N89" s="13">
        <f t="shared" si="6"/>
        <v>0</v>
      </c>
    </row>
    <row r="90" spans="1:14" x14ac:dyDescent="0.25">
      <c r="A90" s="1">
        <f>IF(L90="","",MAX($A$1:$A89)+1)</f>
        <v>40</v>
      </c>
      <c r="B90" s="12" t="s">
        <v>261</v>
      </c>
      <c r="C90" s="62" t="s">
        <v>275</v>
      </c>
      <c r="D90" s="35" t="s">
        <v>180</v>
      </c>
      <c r="E90" s="36" t="s">
        <v>18</v>
      </c>
      <c r="F90" s="36">
        <f>13.45*2+2*13.3</f>
        <v>53.5</v>
      </c>
      <c r="G90" s="36" t="s">
        <v>19</v>
      </c>
      <c r="H90" s="36">
        <v>0.5</v>
      </c>
      <c r="I90" s="36" t="s">
        <v>18</v>
      </c>
      <c r="J90" s="36">
        <f>SUM(F90:H90)</f>
        <v>54</v>
      </c>
      <c r="K90" s="12" t="s">
        <v>5</v>
      </c>
      <c r="L90" s="15">
        <v>54</v>
      </c>
      <c r="M90" s="13"/>
      <c r="N90" s="13">
        <f>M90*L90</f>
        <v>0</v>
      </c>
    </row>
    <row r="91" spans="1:14" x14ac:dyDescent="0.25">
      <c r="A91" s="1">
        <f>IF(L91="","",MAX($A$1:$A90)+1)</f>
        <v>41</v>
      </c>
      <c r="B91" s="12" t="s">
        <v>258</v>
      </c>
      <c r="C91" s="81" t="s">
        <v>250</v>
      </c>
      <c r="D91" s="35" t="s">
        <v>205</v>
      </c>
      <c r="E91" s="36" t="s">
        <v>18</v>
      </c>
      <c r="F91" s="36">
        <f>$H$57</f>
        <v>69</v>
      </c>
      <c r="G91" s="36"/>
      <c r="H91" s="36"/>
      <c r="I91" s="36"/>
      <c r="J91" s="36"/>
      <c r="K91" s="12" t="s">
        <v>7</v>
      </c>
      <c r="L91" s="15">
        <v>69</v>
      </c>
      <c r="M91" s="13"/>
      <c r="N91" s="13">
        <f t="shared" ref="N91" si="7">M91*L91</f>
        <v>0</v>
      </c>
    </row>
    <row r="92" spans="1:14" x14ac:dyDescent="0.25">
      <c r="A92" s="1">
        <f>IF(L92="","",MAX($A$1:$A91)+1)</f>
        <v>42</v>
      </c>
      <c r="B92" s="12" t="s">
        <v>258</v>
      </c>
      <c r="C92" s="85" t="s">
        <v>208</v>
      </c>
      <c r="D92" s="35" t="s">
        <v>209</v>
      </c>
      <c r="E92" s="36" t="s">
        <v>18</v>
      </c>
      <c r="F92" s="48">
        <f>$L$61</f>
        <v>68</v>
      </c>
      <c r="G92" s="36"/>
      <c r="H92" s="36"/>
      <c r="I92" s="36"/>
      <c r="J92" s="36"/>
      <c r="K92" s="12" t="s">
        <v>5</v>
      </c>
      <c r="L92" s="15">
        <v>68</v>
      </c>
      <c r="M92" s="13"/>
      <c r="N92" s="13">
        <f t="shared" si="5"/>
        <v>0</v>
      </c>
    </row>
    <row r="93" spans="1:14" x14ac:dyDescent="0.25">
      <c r="A93" s="1">
        <f>IF(L93="","",MAX($A$1:$A92)+1)</f>
        <v>43</v>
      </c>
      <c r="B93" s="12" t="s">
        <v>258</v>
      </c>
      <c r="C93" s="81" t="s">
        <v>210</v>
      </c>
      <c r="D93" s="35" t="s">
        <v>211</v>
      </c>
      <c r="E93" s="36" t="s">
        <v>18</v>
      </c>
      <c r="F93" s="48">
        <f>L60</f>
        <v>8.5</v>
      </c>
      <c r="G93" s="36"/>
      <c r="H93" s="36"/>
      <c r="I93" s="36"/>
      <c r="J93" s="36"/>
      <c r="K93" s="12" t="s">
        <v>7</v>
      </c>
      <c r="L93" s="15">
        <v>8.5</v>
      </c>
      <c r="M93" s="13"/>
      <c r="N93" s="13">
        <f t="shared" si="5"/>
        <v>0</v>
      </c>
    </row>
    <row r="94" spans="1:14" x14ac:dyDescent="0.25">
      <c r="A94" s="1">
        <f>IF(L94="","",MAX($A$1:$A93)+1)</f>
        <v>44</v>
      </c>
      <c r="B94" s="12" t="s">
        <v>264</v>
      </c>
      <c r="C94" s="81" t="s">
        <v>271</v>
      </c>
      <c r="D94" s="35"/>
      <c r="E94" s="36" t="s">
        <v>18</v>
      </c>
      <c r="F94" s="36">
        <f>2*(0.9+1.4+1.1+0.7+1.2+0.7+1.6+0.95+1.3+0.9+0.4+2.45+6*(0.8+0.3))-$F$55</f>
        <v>21.5</v>
      </c>
      <c r="G94" s="36" t="s">
        <v>19</v>
      </c>
      <c r="H94" s="36">
        <v>0.5</v>
      </c>
      <c r="I94" s="36" t="s">
        <v>18</v>
      </c>
      <c r="J94" s="36">
        <f>SUM(F94:H94)</f>
        <v>22</v>
      </c>
      <c r="K94" s="12" t="s">
        <v>5</v>
      </c>
      <c r="L94" s="15">
        <v>22</v>
      </c>
      <c r="M94" s="13"/>
      <c r="N94" s="13">
        <f t="shared" si="5"/>
        <v>0</v>
      </c>
    </row>
    <row r="95" spans="1:14" x14ac:dyDescent="0.25">
      <c r="A95" s="1">
        <f>IF(L95="","",MAX($A$1:$A94)+1)</f>
        <v>45</v>
      </c>
      <c r="B95" s="12" t="s">
        <v>264</v>
      </c>
      <c r="C95" s="81" t="s">
        <v>216</v>
      </c>
      <c r="D95" s="35"/>
      <c r="E95" s="36" t="s">
        <v>18</v>
      </c>
      <c r="F95" s="36">
        <f>2*(3.6+2.4)</f>
        <v>12</v>
      </c>
      <c r="G95" s="36"/>
      <c r="H95" s="36"/>
      <c r="I95" s="36"/>
      <c r="J95" s="36"/>
      <c r="K95" s="12" t="s">
        <v>5</v>
      </c>
      <c r="L95" s="15">
        <v>12</v>
      </c>
      <c r="M95" s="13"/>
      <c r="N95" s="13">
        <f t="shared" si="5"/>
        <v>0</v>
      </c>
    </row>
    <row r="96" spans="1:14" x14ac:dyDescent="0.25">
      <c r="A96" s="1">
        <f>IF(L96="","",MAX($A$1:$A95)+1)</f>
        <v>46</v>
      </c>
      <c r="B96" s="12" t="s">
        <v>252</v>
      </c>
      <c r="C96" s="81" t="s">
        <v>217</v>
      </c>
      <c r="D96" s="35" t="s">
        <v>5</v>
      </c>
      <c r="E96" s="36" t="s">
        <v>18</v>
      </c>
      <c r="F96" s="36">
        <f>4*(1.6+2*1.4)+4*(1.6+2*1.2)</f>
        <v>33.6</v>
      </c>
      <c r="G96" s="36" t="s">
        <v>19</v>
      </c>
      <c r="H96" s="36">
        <v>0.4</v>
      </c>
      <c r="I96" s="36" t="s">
        <v>18</v>
      </c>
      <c r="J96" s="36">
        <f>SUM(F96:H96)</f>
        <v>34</v>
      </c>
      <c r="K96" s="12" t="s">
        <v>5</v>
      </c>
      <c r="L96" s="12">
        <v>34</v>
      </c>
      <c r="M96" s="13"/>
      <c r="N96" s="13">
        <f t="shared" si="5"/>
        <v>0</v>
      </c>
    </row>
    <row r="97" spans="1:14" x14ac:dyDescent="0.25">
      <c r="A97" s="1">
        <f>IF(L97="","",MAX($A$1:$A96)+1)</f>
        <v>47</v>
      </c>
      <c r="B97" s="12" t="s">
        <v>252</v>
      </c>
      <c r="C97" s="81" t="s">
        <v>218</v>
      </c>
      <c r="D97" s="35"/>
      <c r="E97" s="36"/>
      <c r="F97" s="36"/>
      <c r="G97" s="36"/>
      <c r="H97" s="36"/>
      <c r="I97" s="36"/>
      <c r="J97" s="36"/>
      <c r="K97" s="12" t="s">
        <v>1</v>
      </c>
      <c r="L97" s="12">
        <v>8</v>
      </c>
      <c r="M97" s="13"/>
      <c r="N97" s="13">
        <f t="shared" si="5"/>
        <v>0</v>
      </c>
    </row>
    <row r="98" spans="1:14" x14ac:dyDescent="0.25">
      <c r="A98" s="1">
        <f>IF(L98="","",MAX($A$1:$A97)+1)</f>
        <v>48</v>
      </c>
      <c r="B98" s="12" t="s">
        <v>268</v>
      </c>
      <c r="C98" s="81" t="s">
        <v>227</v>
      </c>
      <c r="D98" s="35"/>
      <c r="E98" s="36"/>
      <c r="F98" s="48"/>
      <c r="G98" s="36"/>
      <c r="H98" s="36"/>
      <c r="I98" s="36"/>
      <c r="J98" s="36"/>
      <c r="K98" s="12" t="s">
        <v>7</v>
      </c>
      <c r="L98" s="15">
        <v>91</v>
      </c>
      <c r="M98" s="13"/>
      <c r="N98" s="13">
        <f t="shared" ref="N98:N109" si="8">M98*L98</f>
        <v>0</v>
      </c>
    </row>
    <row r="99" spans="1:14" ht="22.5" hidden="1" outlineLevel="1" x14ac:dyDescent="0.25">
      <c r="A99" s="1"/>
      <c r="B99" s="130"/>
      <c r="C99" s="81"/>
      <c r="D99" s="50" t="s">
        <v>228</v>
      </c>
      <c r="E99" s="36"/>
      <c r="F99" s="48"/>
      <c r="G99" s="36"/>
      <c r="H99" s="36"/>
      <c r="I99" s="36"/>
      <c r="J99" s="36"/>
      <c r="K99" s="12"/>
      <c r="L99" s="15"/>
      <c r="M99" s="13"/>
      <c r="N99" s="13"/>
    </row>
    <row r="100" spans="1:14" hidden="1" outlineLevel="1" x14ac:dyDescent="0.25">
      <c r="A100" s="1"/>
      <c r="B100" s="130"/>
      <c r="C100" s="81"/>
      <c r="D100" s="50" t="s">
        <v>229</v>
      </c>
      <c r="E100" s="36" t="s">
        <v>18</v>
      </c>
      <c r="F100" s="48">
        <f>((12.15+9.6)/2*1.5-0.7*0.9-2*(1.4*0.85+1.6*0.7/2))*1/COS(RADIANS(55.41))</f>
        <v>21.46</v>
      </c>
      <c r="G100" s="36"/>
      <c r="H100" s="36"/>
      <c r="I100" s="36"/>
      <c r="J100" s="36"/>
      <c r="K100" s="12"/>
      <c r="L100" s="15"/>
      <c r="M100" s="13"/>
      <c r="N100" s="13"/>
    </row>
    <row r="101" spans="1:14" hidden="1" outlineLevel="1" x14ac:dyDescent="0.25">
      <c r="A101" s="1"/>
      <c r="B101" s="130"/>
      <c r="C101" s="81"/>
      <c r="D101" s="50" t="s">
        <v>121</v>
      </c>
      <c r="E101" s="36" t="s">
        <v>18</v>
      </c>
      <c r="F101" s="48">
        <f>((12.15+9.6)/2*1.5-0.8*0.95-2*(1.4*0.85+1.6*0.7/2))*1/COS(RADIANS(55.1))</f>
        <v>21.07</v>
      </c>
      <c r="G101" s="36"/>
      <c r="H101" s="36"/>
      <c r="I101" s="36"/>
      <c r="J101" s="36"/>
      <c r="K101" s="12"/>
      <c r="L101" s="15"/>
      <c r="M101" s="13"/>
      <c r="N101" s="13"/>
    </row>
    <row r="102" spans="1:14" hidden="1" outlineLevel="1" x14ac:dyDescent="0.25">
      <c r="A102" s="1"/>
      <c r="B102" s="130"/>
      <c r="C102" s="81"/>
      <c r="D102" s="50" t="s">
        <v>138</v>
      </c>
      <c r="E102" s="36" t="s">
        <v>18</v>
      </c>
      <c r="F102" s="48">
        <f>((12.5+9.5)/2*1.35-0.9*0.65-2*(1.2*0.75+1.2*0.6/2))*1/COS(RADIANS(61.1))</f>
        <v>24.3</v>
      </c>
      <c r="G102" s="36"/>
      <c r="H102" s="36"/>
      <c r="I102" s="36"/>
      <c r="J102" s="36"/>
      <c r="K102" s="12"/>
      <c r="L102" s="15"/>
      <c r="M102" s="13"/>
      <c r="N102" s="13"/>
    </row>
    <row r="103" spans="1:14" hidden="1" outlineLevel="1" x14ac:dyDescent="0.25">
      <c r="A103" s="1"/>
      <c r="B103" s="130"/>
      <c r="C103" s="81"/>
      <c r="D103" s="35" t="s">
        <v>123</v>
      </c>
      <c r="E103" s="36" t="s">
        <v>18</v>
      </c>
      <c r="F103" s="48">
        <f>((12.5+9.5)/2*1.35-0.7*0.55-0.7*0.6-2*(1.2*0.75+1.2*0.6/2))*1/COS(RADIANS(61.1))</f>
        <v>23.85</v>
      </c>
      <c r="G103" s="36"/>
      <c r="H103" s="36"/>
      <c r="I103" s="36"/>
      <c r="J103" s="36"/>
      <c r="K103" s="12"/>
      <c r="L103" s="15"/>
      <c r="M103" s="13"/>
      <c r="N103" s="13"/>
    </row>
    <row r="104" spans="1:14" hidden="1" outlineLevel="1" x14ac:dyDescent="0.25">
      <c r="A104" s="1"/>
      <c r="B104" s="130"/>
      <c r="C104" s="81"/>
      <c r="D104" s="35"/>
      <c r="E104" s="36"/>
      <c r="F104" s="48">
        <v>0.32</v>
      </c>
      <c r="G104" s="36" t="s">
        <v>18</v>
      </c>
      <c r="H104" s="48">
        <f>SUM(F100:F104)</f>
        <v>91</v>
      </c>
      <c r="I104" s="36"/>
      <c r="J104" s="36"/>
      <c r="K104" s="12"/>
      <c r="L104" s="15"/>
      <c r="M104" s="13"/>
      <c r="N104" s="13"/>
    </row>
    <row r="105" spans="1:14" hidden="1" outlineLevel="1" x14ac:dyDescent="0.25">
      <c r="A105" s="1"/>
      <c r="B105" s="130"/>
      <c r="C105" s="81"/>
      <c r="D105" s="35"/>
      <c r="E105" s="36"/>
      <c r="F105" s="48"/>
      <c r="G105" s="36"/>
      <c r="H105" s="36"/>
      <c r="I105" s="36"/>
      <c r="J105" s="36"/>
      <c r="K105" s="12"/>
      <c r="L105" s="15"/>
      <c r="M105" s="13"/>
      <c r="N105" s="13"/>
    </row>
    <row r="106" spans="1:14" collapsed="1" x14ac:dyDescent="0.25">
      <c r="A106" s="1">
        <f>IF(L106="","",MAX($A$1:$A105)+1)</f>
        <v>49</v>
      </c>
      <c r="B106" s="12" t="s">
        <v>265</v>
      </c>
      <c r="C106" s="81" t="s">
        <v>269</v>
      </c>
      <c r="D106" s="50"/>
      <c r="E106" s="36"/>
      <c r="F106" s="48"/>
      <c r="G106" s="36"/>
      <c r="H106" s="36"/>
      <c r="I106" s="36"/>
      <c r="J106" s="36"/>
      <c r="K106" s="12" t="s">
        <v>1</v>
      </c>
      <c r="L106" s="15">
        <v>6</v>
      </c>
      <c r="M106" s="13"/>
      <c r="N106" s="13">
        <f>M106*L106</f>
        <v>0</v>
      </c>
    </row>
    <row r="107" spans="1:14" x14ac:dyDescent="0.25">
      <c r="A107" s="1">
        <f>IF(L107="","",MAX($A$1:$A106)+1)</f>
        <v>50</v>
      </c>
      <c r="B107" s="12" t="s">
        <v>266</v>
      </c>
      <c r="C107" s="81" t="s">
        <v>284</v>
      </c>
      <c r="D107" s="35" t="s">
        <v>214</v>
      </c>
      <c r="E107" s="36"/>
      <c r="F107" s="36"/>
      <c r="G107" s="36"/>
      <c r="H107" s="36"/>
      <c r="I107" s="36"/>
      <c r="J107" s="36"/>
      <c r="K107" s="12" t="s">
        <v>4</v>
      </c>
      <c r="L107" s="12">
        <v>1</v>
      </c>
      <c r="M107" s="13"/>
      <c r="N107" s="13">
        <f t="shared" si="8"/>
        <v>0</v>
      </c>
    </row>
    <row r="108" spans="1:14" x14ac:dyDescent="0.25">
      <c r="A108" s="1">
        <f>IF(L108="","",MAX($A$1:$A107)+1)</f>
        <v>51</v>
      </c>
      <c r="B108" s="12" t="s">
        <v>266</v>
      </c>
      <c r="C108" s="81" t="s">
        <v>285</v>
      </c>
      <c r="D108" s="35" t="s">
        <v>215</v>
      </c>
      <c r="E108" s="36" t="s">
        <v>18</v>
      </c>
      <c r="F108" s="48">
        <f>1.8*1/COS(RADIANS(55.41))+6.07*1/COS(RADIANS(55.1))</f>
        <v>13.78</v>
      </c>
      <c r="G108" s="36" t="s">
        <v>19</v>
      </c>
      <c r="H108" s="36">
        <v>0.22</v>
      </c>
      <c r="I108" s="36" t="s">
        <v>18</v>
      </c>
      <c r="J108" s="36">
        <f>SUM(F108:H108)</f>
        <v>14</v>
      </c>
      <c r="K108" s="12" t="s">
        <v>5</v>
      </c>
      <c r="L108" s="15">
        <v>14</v>
      </c>
      <c r="M108" s="13"/>
      <c r="N108" s="13">
        <f t="shared" si="8"/>
        <v>0</v>
      </c>
    </row>
    <row r="109" spans="1:14" x14ac:dyDescent="0.25">
      <c r="A109" s="1">
        <f>IF(L109="","",MAX($A$1:$A108)+1)</f>
        <v>52</v>
      </c>
      <c r="B109" s="107" t="s">
        <v>278</v>
      </c>
      <c r="C109" s="62" t="s">
        <v>273</v>
      </c>
      <c r="D109" s="35" t="s">
        <v>159</v>
      </c>
      <c r="E109" s="36"/>
      <c r="F109" s="36"/>
      <c r="G109" s="36"/>
      <c r="H109" s="36"/>
      <c r="I109" s="36"/>
      <c r="J109" s="36"/>
      <c r="K109" s="12" t="s">
        <v>1</v>
      </c>
      <c r="L109" s="12">
        <v>8</v>
      </c>
      <c r="M109" s="13"/>
      <c r="N109" s="13">
        <f t="shared" si="8"/>
        <v>0</v>
      </c>
    </row>
    <row r="110" spans="1:14" x14ac:dyDescent="0.25">
      <c r="A110" s="1" t="str">
        <f>IF(L110="","",MAX($A$1:$A109)+1)</f>
        <v/>
      </c>
      <c r="B110" s="12"/>
      <c r="C110" s="25"/>
      <c r="D110" s="35"/>
      <c r="E110" s="36"/>
      <c r="F110" s="36"/>
      <c r="G110" s="36"/>
      <c r="H110" s="36"/>
      <c r="I110" s="36"/>
      <c r="J110" s="36"/>
      <c r="K110" s="12"/>
      <c r="L110" s="12"/>
      <c r="M110" s="13"/>
      <c r="N110" s="13"/>
    </row>
    <row r="111" spans="1:14" x14ac:dyDescent="0.25">
      <c r="A111" s="1" t="str">
        <f>IF(L111="","",MAX($A$1:$A110)+1)</f>
        <v/>
      </c>
      <c r="B111" s="12" t="s">
        <v>237</v>
      </c>
      <c r="C111" s="24" t="s">
        <v>219</v>
      </c>
      <c r="D111" s="35"/>
      <c r="E111" s="36"/>
      <c r="F111" s="36"/>
      <c r="G111" s="36"/>
      <c r="H111" s="36"/>
      <c r="I111" s="36"/>
      <c r="J111" s="36"/>
      <c r="K111" s="12"/>
      <c r="L111" s="12"/>
      <c r="M111" s="13"/>
      <c r="N111" s="13"/>
    </row>
    <row r="112" spans="1:14" x14ac:dyDescent="0.25">
      <c r="A112" s="1">
        <f>IF(L112="","",MAX($A$1:$A111)+1)</f>
        <v>53</v>
      </c>
      <c r="B112" s="12" t="s">
        <v>234</v>
      </c>
      <c r="C112" s="28" t="s">
        <v>220</v>
      </c>
      <c r="D112" s="35" t="s">
        <v>221</v>
      </c>
      <c r="E112" s="36" t="s">
        <v>18</v>
      </c>
      <c r="F112" s="36">
        <f>3*4.2</f>
        <v>12.6</v>
      </c>
      <c r="G112" s="36" t="s">
        <v>19</v>
      </c>
      <c r="H112" s="36">
        <v>0.4</v>
      </c>
      <c r="I112" s="36" t="s">
        <v>18</v>
      </c>
      <c r="J112" s="36">
        <f>SUM(F112:H112)</f>
        <v>13</v>
      </c>
      <c r="K112" s="12" t="s">
        <v>5</v>
      </c>
      <c r="L112" s="15">
        <v>13</v>
      </c>
      <c r="M112" s="13"/>
      <c r="N112" s="13">
        <f>M112*L112</f>
        <v>0</v>
      </c>
    </row>
    <row r="113" spans="1:14" x14ac:dyDescent="0.25">
      <c r="A113" s="1">
        <f>IF(L113="","",MAX($A$1:$A112)+1)</f>
        <v>54</v>
      </c>
      <c r="B113" s="12" t="s">
        <v>234</v>
      </c>
      <c r="C113" s="28" t="s">
        <v>249</v>
      </c>
      <c r="D113" s="35"/>
      <c r="E113" s="36" t="s">
        <v>18</v>
      </c>
      <c r="F113" s="36">
        <f>J112</f>
        <v>13</v>
      </c>
      <c r="G113" s="36"/>
      <c r="H113" s="36"/>
      <c r="I113" s="36"/>
      <c r="J113" s="36"/>
      <c r="K113" s="12" t="s">
        <v>5</v>
      </c>
      <c r="L113" s="15">
        <v>13</v>
      </c>
      <c r="M113" s="13"/>
      <c r="N113" s="13">
        <f>M113*L113</f>
        <v>0</v>
      </c>
    </row>
    <row r="114" spans="1:14" x14ac:dyDescent="0.25">
      <c r="A114" s="1">
        <f>IF(L114="","",MAX($A$1:$A113)+1)</f>
        <v>55</v>
      </c>
      <c r="B114" s="38" t="s">
        <v>235</v>
      </c>
      <c r="C114" s="46" t="s">
        <v>272</v>
      </c>
      <c r="D114" s="35"/>
      <c r="E114" s="36"/>
      <c r="F114" s="36"/>
      <c r="G114" s="36"/>
      <c r="H114" s="36"/>
      <c r="I114" s="36"/>
      <c r="J114" s="37"/>
      <c r="K114" s="38" t="s">
        <v>5</v>
      </c>
      <c r="L114" s="43">
        <v>10</v>
      </c>
      <c r="M114" s="39"/>
      <c r="N114" s="26">
        <f>M114*L114</f>
        <v>0</v>
      </c>
    </row>
    <row r="115" spans="1:14" x14ac:dyDescent="0.25">
      <c r="A115" s="1" t="str">
        <f>IF(L115="","",MAX($A$1:$A113)+1)</f>
        <v/>
      </c>
      <c r="B115" s="12"/>
      <c r="C115" s="25"/>
      <c r="D115" s="35"/>
      <c r="E115" s="36"/>
      <c r="F115" s="36"/>
      <c r="G115" s="36"/>
      <c r="H115" s="36"/>
      <c r="I115" s="36"/>
      <c r="J115" s="36"/>
      <c r="K115" s="12"/>
      <c r="L115" s="12"/>
      <c r="M115" s="13"/>
      <c r="N115" s="13"/>
    </row>
    <row r="116" spans="1:14" x14ac:dyDescent="0.25">
      <c r="A116" s="1">
        <f>IF(L116="","",MAX($A$1:$A115)+1)</f>
        <v>56</v>
      </c>
      <c r="B116" s="38" t="s">
        <v>238</v>
      </c>
      <c r="C116" s="41" t="s">
        <v>274</v>
      </c>
      <c r="D116" s="35"/>
      <c r="E116" s="36"/>
      <c r="F116" s="36"/>
      <c r="G116" s="36"/>
      <c r="H116" s="36"/>
      <c r="I116" s="36"/>
      <c r="J116" s="37"/>
      <c r="K116" s="38" t="s">
        <v>4</v>
      </c>
      <c r="L116" s="38">
        <v>1</v>
      </c>
      <c r="M116" s="39"/>
      <c r="N116" s="26">
        <f t="shared" ref="N116" si="9">M116*L116</f>
        <v>0</v>
      </c>
    </row>
    <row r="117" spans="1:14" x14ac:dyDescent="0.25">
      <c r="A117" s="1" t="str">
        <f>IF(L117="","",MAX($A$1:$A115)+1)</f>
        <v/>
      </c>
      <c r="B117" s="12"/>
      <c r="C117" s="25"/>
      <c r="D117" s="35"/>
      <c r="E117" s="36"/>
      <c r="F117" s="36"/>
      <c r="G117" s="36"/>
      <c r="H117" s="36"/>
      <c r="I117" s="36"/>
      <c r="J117" s="36"/>
      <c r="K117" s="12"/>
      <c r="L117" s="12"/>
      <c r="M117" s="13"/>
      <c r="N117" s="13"/>
    </row>
    <row r="118" spans="1:14" s="20" customFormat="1" ht="14.25" x14ac:dyDescent="0.2">
      <c r="A118" s="1" t="str">
        <f>IF(L118="","",MAX($A$1:$A117)+1)</f>
        <v/>
      </c>
      <c r="B118" s="10"/>
      <c r="C118" s="100"/>
      <c r="D118" s="101"/>
      <c r="E118" s="102"/>
      <c r="F118" s="102"/>
      <c r="G118" s="102"/>
      <c r="H118" s="102"/>
      <c r="I118" s="102"/>
      <c r="J118" s="102"/>
      <c r="K118" s="103"/>
      <c r="L118" s="103"/>
      <c r="M118" s="104"/>
      <c r="N118" s="99"/>
    </row>
    <row r="119" spans="1:14" s="20" customFormat="1" ht="14.25" x14ac:dyDescent="0.2">
      <c r="A119" s="1" t="str">
        <f>IF(L119="","",MAX($A$1:$A118)+1)</f>
        <v/>
      </c>
      <c r="B119" s="10"/>
      <c r="C119" s="155" t="s">
        <v>296</v>
      </c>
      <c r="D119" s="156"/>
      <c r="E119" s="156"/>
      <c r="F119" s="156"/>
      <c r="G119" s="156"/>
      <c r="H119" s="156"/>
      <c r="I119" s="156"/>
      <c r="J119" s="156"/>
      <c r="K119" s="156"/>
      <c r="L119" s="156"/>
      <c r="M119" s="157"/>
      <c r="N119" s="105">
        <f>SUM(N11:N117)</f>
        <v>0</v>
      </c>
    </row>
    <row r="120" spans="1:14" s="20" customFormat="1" ht="14.25" x14ac:dyDescent="0.2">
      <c r="A120" s="1" t="str">
        <f>IF(L120="","",MAX($A$1:$A119)+1)</f>
        <v/>
      </c>
      <c r="B120" s="10"/>
      <c r="C120" s="158" t="s">
        <v>14</v>
      </c>
      <c r="D120" s="159"/>
      <c r="E120" s="159"/>
      <c r="F120" s="159"/>
      <c r="G120" s="159"/>
      <c r="H120" s="159"/>
      <c r="I120" s="159"/>
      <c r="J120" s="159"/>
      <c r="K120" s="159"/>
      <c r="L120" s="159"/>
      <c r="M120" s="160"/>
      <c r="N120" s="106">
        <f>0.2*N119</f>
        <v>0</v>
      </c>
    </row>
    <row r="121" spans="1:14" s="20" customFormat="1" x14ac:dyDescent="0.2">
      <c r="A121" s="1" t="str">
        <f>IF(L121="","",MAX($A$1:$A120)+1)</f>
        <v/>
      </c>
      <c r="B121" s="10"/>
      <c r="C121" s="161" t="s">
        <v>297</v>
      </c>
      <c r="D121" s="162"/>
      <c r="E121" s="162"/>
      <c r="F121" s="162"/>
      <c r="G121" s="162"/>
      <c r="H121" s="162"/>
      <c r="I121" s="162"/>
      <c r="J121" s="162"/>
      <c r="K121" s="162"/>
      <c r="L121" s="162"/>
      <c r="M121" s="163"/>
      <c r="N121" s="123">
        <f>N120+N119</f>
        <v>0</v>
      </c>
    </row>
    <row r="122" spans="1:14" x14ac:dyDescent="0.25">
      <c r="A122" s="108"/>
      <c r="B122" s="109"/>
      <c r="C122" s="119"/>
      <c r="D122" s="120"/>
      <c r="E122" s="121"/>
      <c r="F122" s="121"/>
      <c r="G122" s="121"/>
      <c r="H122" s="121"/>
      <c r="I122" s="121"/>
      <c r="J122" s="121"/>
      <c r="K122" s="109"/>
      <c r="L122" s="109"/>
      <c r="M122" s="122"/>
      <c r="N122" s="122"/>
    </row>
  </sheetData>
  <mergeCells count="4">
    <mergeCell ref="D1:J1"/>
    <mergeCell ref="C119:M119"/>
    <mergeCell ref="C120:M120"/>
    <mergeCell ref="C121:M121"/>
  </mergeCells>
  <printOptions horizontalCentered="1"/>
  <pageMargins left="0.59055118110236227" right="0.39370078740157483" top="0.78740157480314965" bottom="1.1023622047244095" header="0.39370078740157483" footer="0.59055118110236227"/>
  <pageSetup paperSize="9" scale="81" fitToHeight="0" orientation="portrait" r:id="rId1"/>
  <headerFooter alignWithMargins="0">
    <oddHeader xml:space="preserve">&amp;L&amp;"Arial,Normal"&amp;8Edifice : Paris - Sénat
Travaux : Restauration des façades et couvertures de l'aile Nord et des pavillons Nord-Est et Nord-Ouest du Palais du Luxembourg&amp;U
</oddHeader>
    <oddFooter>&amp;R
&amp;"Arial,Normal"&amp;9Page :&amp;P sur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PG</vt:lpstr>
      <vt:lpstr> LOT 04 -TF </vt:lpstr>
      <vt:lpstr>LOT 04 - TO 1 </vt:lpstr>
      <vt:lpstr>LOT 04 -TO 2 </vt:lpstr>
      <vt:lpstr>' LOT 04 -TF '!Zone_d_impression</vt:lpstr>
      <vt:lpstr>'LOT 04 - TO 1 '!Zone_d_impression</vt:lpstr>
      <vt:lpstr>'LOT 04 -TO 2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Amélia Soria</dc:creator>
  <cp:lastModifiedBy>Isabelle SALORD</cp:lastModifiedBy>
  <cp:lastPrinted>2025-01-02T14:59:16Z</cp:lastPrinted>
  <dcterms:created xsi:type="dcterms:W3CDTF">2023-04-06T06:45:18Z</dcterms:created>
  <dcterms:modified xsi:type="dcterms:W3CDTF">2025-01-16T14:18:33Z</dcterms:modified>
</cp:coreProperties>
</file>