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urs\_unites\DSTG\SC\ZONE ECHANGE SC\BELP\BELP 2024\B24-02431-CCS Nettoyage Centre\2- DCE\"/>
    </mc:Choice>
  </mc:AlternateContent>
  <workbookProtection workbookAlgorithmName="SHA-512" workbookHashValue="P7t3kiqJ4tF334lC8TA5koQAgrdn1YNhn1IRcCrah7U6IpTUlUEb04zI4mpi6cq9oxhSKPZTu1BMHnmvvb3Reg==" workbookSaltValue="zgm5+A9loYgesP+8XK1g+w==" workbookSpinCount="100000" lockStructure="1"/>
  <bookViews>
    <workbookView xWindow="-120" yWindow="-120" windowWidth="25440" windowHeight="15390"/>
  </bookViews>
  <sheets>
    <sheet name="EV" sheetId="3" r:id="rId1"/>
  </sheets>
  <definedNames>
    <definedName name="_xlnm._FilterDatabase" localSheetId="0" hidden="1">EV!$A$2:$Z$80</definedName>
    <definedName name="_xlnm.Print_Titles" localSheetId="0">EV!$1:$4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98" i="3" l="1"/>
  <c r="R98" i="3"/>
  <c r="M98" i="3"/>
  <c r="G98" i="3"/>
  <c r="C98" i="3"/>
  <c r="T97" i="3"/>
  <c r="S97" i="3"/>
  <c r="R97" i="3"/>
  <c r="M97" i="3"/>
  <c r="G97" i="3"/>
  <c r="C97" i="3"/>
  <c r="S96" i="3"/>
  <c r="R96" i="3"/>
  <c r="M96" i="3"/>
  <c r="G96" i="3"/>
  <c r="C96" i="3"/>
  <c r="S95" i="3"/>
  <c r="R95" i="3"/>
  <c r="M95" i="3"/>
  <c r="G95" i="3"/>
  <c r="C95" i="3"/>
  <c r="S94" i="3"/>
  <c r="R94" i="3"/>
  <c r="M94" i="3"/>
  <c r="G94" i="3"/>
  <c r="C94" i="3"/>
  <c r="T93" i="3"/>
  <c r="S93" i="3"/>
  <c r="R93" i="3"/>
  <c r="M93" i="3"/>
  <c r="G93" i="3"/>
  <c r="C93" i="3"/>
  <c r="S92" i="3"/>
  <c r="R92" i="3"/>
  <c r="M92" i="3"/>
  <c r="G92" i="3"/>
  <c r="C92" i="3"/>
  <c r="F100" i="3"/>
  <c r="S91" i="3"/>
  <c r="R91" i="3"/>
  <c r="M91" i="3"/>
  <c r="G91" i="3"/>
  <c r="C91" i="3"/>
  <c r="S89" i="3"/>
  <c r="R89" i="3"/>
  <c r="M89" i="3"/>
  <c r="G89" i="3"/>
  <c r="C89" i="3"/>
  <c r="G82" i="3"/>
  <c r="G83" i="3"/>
  <c r="G84" i="3"/>
  <c r="G85" i="3"/>
  <c r="G86" i="3"/>
  <c r="G87" i="3"/>
  <c r="G88" i="3"/>
  <c r="G90" i="3"/>
  <c r="G81" i="3"/>
  <c r="C81" i="3"/>
  <c r="C82" i="3"/>
  <c r="C83" i="3"/>
  <c r="C84" i="3"/>
  <c r="C85" i="3"/>
  <c r="C86" i="3"/>
  <c r="C87" i="3"/>
  <c r="C88" i="3"/>
  <c r="C90" i="3"/>
  <c r="R81" i="3"/>
  <c r="S81" i="3"/>
  <c r="T81" i="3"/>
  <c r="R82" i="3"/>
  <c r="S82" i="3"/>
  <c r="R83" i="3"/>
  <c r="S83" i="3"/>
  <c r="R84" i="3"/>
  <c r="S84" i="3"/>
  <c r="R85" i="3"/>
  <c r="S85" i="3"/>
  <c r="R86" i="3"/>
  <c r="S86" i="3"/>
  <c r="T86" i="3"/>
  <c r="R87" i="3"/>
  <c r="S87" i="3"/>
  <c r="R88" i="3"/>
  <c r="S88" i="3"/>
  <c r="R90" i="3"/>
  <c r="S90" i="3"/>
  <c r="M81" i="3"/>
  <c r="M82" i="3"/>
  <c r="M83" i="3"/>
  <c r="M84" i="3"/>
  <c r="M85" i="3"/>
  <c r="M86" i="3"/>
  <c r="M87" i="3"/>
  <c r="M88" i="3"/>
  <c r="M90" i="3"/>
  <c r="W61" i="3"/>
  <c r="W38" i="3"/>
  <c r="W39" i="3"/>
  <c r="W40" i="3"/>
  <c r="W41" i="3"/>
  <c r="W42" i="3"/>
  <c r="W43" i="3"/>
  <c r="W44" i="3"/>
  <c r="W45" i="3"/>
  <c r="W46" i="3"/>
  <c r="W47" i="3"/>
  <c r="W48" i="3"/>
  <c r="W49" i="3"/>
  <c r="W50" i="3"/>
  <c r="W51" i="3"/>
  <c r="W52" i="3"/>
  <c r="W53" i="3"/>
  <c r="W54" i="3"/>
  <c r="W55" i="3"/>
  <c r="W56" i="3"/>
  <c r="W57" i="3"/>
  <c r="W58" i="3"/>
  <c r="W59" i="3"/>
  <c r="W60" i="3"/>
  <c r="W62" i="3"/>
  <c r="W63" i="3"/>
  <c r="W64" i="3"/>
  <c r="W65" i="3"/>
  <c r="W66" i="3"/>
  <c r="W67" i="3"/>
  <c r="W68" i="3"/>
  <c r="W69" i="3"/>
  <c r="W70" i="3"/>
  <c r="W71" i="3"/>
  <c r="W72" i="3"/>
  <c r="W73" i="3"/>
  <c r="W74" i="3"/>
  <c r="W75" i="3"/>
  <c r="W76" i="3"/>
  <c r="W77" i="3"/>
  <c r="W78" i="3"/>
  <c r="W79" i="3"/>
  <c r="W80" i="3"/>
  <c r="T6" i="3"/>
  <c r="T82" i="3" s="1"/>
  <c r="W34" i="3"/>
  <c r="W33" i="3"/>
  <c r="W27" i="3"/>
  <c r="W25" i="3"/>
  <c r="W24" i="3"/>
  <c r="W22" i="3"/>
  <c r="W21" i="3"/>
  <c r="W20" i="3"/>
  <c r="W19" i="3"/>
  <c r="W18" i="3"/>
  <c r="W17" i="3"/>
  <c r="W15" i="3"/>
  <c r="W14" i="3"/>
  <c r="W9" i="3"/>
  <c r="W10" i="3"/>
  <c r="W8" i="3"/>
  <c r="W7" i="3"/>
  <c r="W6" i="3"/>
  <c r="W11" i="3"/>
  <c r="W12" i="3"/>
  <c r="W13" i="3"/>
  <c r="W16" i="3"/>
  <c r="W23" i="3"/>
  <c r="W26" i="3"/>
  <c r="W28" i="3"/>
  <c r="W29" i="3"/>
  <c r="W30" i="3"/>
  <c r="W31" i="3"/>
  <c r="W32" i="3"/>
  <c r="W35" i="3"/>
  <c r="W36" i="3"/>
  <c r="W37" i="3"/>
  <c r="W5" i="3"/>
  <c r="M70" i="3" l="1"/>
  <c r="R59" i="3"/>
  <c r="S59" i="3"/>
  <c r="Q59" i="3"/>
  <c r="M52" i="3"/>
  <c r="M35" i="3"/>
  <c r="Q34" i="3"/>
  <c r="Q35" i="3"/>
  <c r="T80" i="3"/>
  <c r="T79" i="3"/>
  <c r="T78" i="3"/>
  <c r="T77" i="3"/>
  <c r="T76" i="3"/>
  <c r="T74" i="3"/>
  <c r="T73" i="3"/>
  <c r="T72" i="3"/>
  <c r="T75" i="3"/>
  <c r="T71" i="3"/>
  <c r="T70" i="3"/>
  <c r="T69" i="3"/>
  <c r="T68" i="3"/>
  <c r="T67" i="3"/>
  <c r="T66" i="3"/>
  <c r="T65" i="3"/>
  <c r="T64" i="3"/>
  <c r="T63" i="3"/>
  <c r="T62" i="3"/>
  <c r="T61" i="3"/>
  <c r="T60" i="3"/>
  <c r="T59" i="3"/>
  <c r="T58" i="3"/>
  <c r="T57" i="3"/>
  <c r="T56" i="3"/>
  <c r="T55" i="3"/>
  <c r="T54" i="3"/>
  <c r="T53" i="3"/>
  <c r="T52" i="3"/>
  <c r="T51" i="3"/>
  <c r="T50" i="3"/>
  <c r="T49" i="3"/>
  <c r="T48" i="3"/>
  <c r="T47" i="3"/>
  <c r="T46" i="3"/>
  <c r="T45" i="3"/>
  <c r="T44" i="3"/>
  <c r="T43" i="3"/>
  <c r="T42" i="3"/>
  <c r="T41" i="3"/>
  <c r="T40" i="3"/>
  <c r="T39" i="3"/>
  <c r="T38" i="3"/>
  <c r="T34" i="3"/>
  <c r="T33" i="3"/>
  <c r="T32" i="3"/>
  <c r="T30" i="3"/>
  <c r="T27" i="3"/>
  <c r="T26" i="3"/>
  <c r="T25" i="3"/>
  <c r="T24" i="3"/>
  <c r="T23" i="3"/>
  <c r="T22" i="3"/>
  <c r="T21" i="3"/>
  <c r="T98" i="3" s="1"/>
  <c r="T19" i="3"/>
  <c r="T96" i="3" s="1"/>
  <c r="T18" i="3" l="1"/>
  <c r="T95" i="3" s="1"/>
  <c r="T17" i="3"/>
  <c r="T94" i="3" s="1"/>
  <c r="T15" i="3"/>
  <c r="T92" i="3" s="1"/>
  <c r="T14" i="3"/>
  <c r="T91" i="3" s="1"/>
  <c r="T13" i="3"/>
  <c r="T90" i="3" s="1"/>
  <c r="T12" i="3"/>
  <c r="T11" i="3"/>
  <c r="T87" i="3" s="1"/>
  <c r="T9" i="3"/>
  <c r="T85" i="3" s="1"/>
  <c r="T8" i="3"/>
  <c r="T84" i="3" s="1"/>
  <c r="T7" i="3"/>
  <c r="T83" i="3" s="1"/>
  <c r="Q5" i="3"/>
  <c r="C70" i="3"/>
  <c r="G70" i="3"/>
  <c r="C59" i="3"/>
  <c r="O59" i="3" s="1"/>
  <c r="G59" i="3"/>
  <c r="C52" i="3"/>
  <c r="G52" i="3"/>
  <c r="C35" i="3"/>
  <c r="O35" i="3" s="1"/>
  <c r="G35" i="3"/>
  <c r="G5" i="3"/>
  <c r="G6" i="3"/>
  <c r="G7" i="3"/>
  <c r="G8" i="3"/>
  <c r="G9" i="3"/>
  <c r="G10" i="3"/>
  <c r="G11" i="3"/>
  <c r="G12" i="3"/>
  <c r="G13" i="3"/>
  <c r="G14" i="3"/>
  <c r="G15" i="3"/>
  <c r="G16" i="3"/>
  <c r="G17" i="3"/>
  <c r="G18" i="3"/>
  <c r="G19" i="3"/>
  <c r="G20" i="3"/>
  <c r="G29" i="3"/>
  <c r="G21" i="3"/>
  <c r="G22" i="3"/>
  <c r="G23" i="3"/>
  <c r="G24" i="3"/>
  <c r="G25" i="3"/>
  <c r="G26" i="3"/>
  <c r="G27" i="3"/>
  <c r="G28" i="3"/>
  <c r="G30" i="3"/>
  <c r="G31" i="3"/>
  <c r="G32" i="3"/>
  <c r="G33" i="3"/>
  <c r="G34" i="3"/>
  <c r="G36" i="3"/>
  <c r="G37" i="3"/>
  <c r="G38" i="3"/>
  <c r="G39" i="3"/>
  <c r="G40" i="3"/>
  <c r="G41" i="3"/>
  <c r="G42" i="3"/>
  <c r="G43" i="3"/>
  <c r="G44" i="3"/>
  <c r="G45" i="3"/>
  <c r="G46" i="3"/>
  <c r="G47" i="3"/>
  <c r="G48" i="3"/>
  <c r="G49" i="3"/>
  <c r="G50" i="3"/>
  <c r="G51" i="3"/>
  <c r="G53" i="3"/>
  <c r="G54" i="3"/>
  <c r="G57" i="3"/>
  <c r="G58" i="3"/>
  <c r="G55" i="3"/>
  <c r="G56" i="3"/>
  <c r="G60" i="3"/>
  <c r="G62" i="3"/>
  <c r="G61" i="3"/>
  <c r="G63" i="3"/>
  <c r="G64" i="3"/>
  <c r="G65" i="3"/>
  <c r="G67" i="3"/>
  <c r="G66" i="3"/>
  <c r="G68" i="3"/>
  <c r="G69" i="3"/>
  <c r="G71" i="3"/>
  <c r="G72" i="3"/>
  <c r="G73" i="3"/>
  <c r="G74" i="3"/>
  <c r="G75" i="3"/>
  <c r="G76" i="3"/>
  <c r="G77" i="3"/>
  <c r="G78" i="3"/>
  <c r="G79" i="3"/>
  <c r="G80" i="3"/>
  <c r="C5" i="3"/>
  <c r="C6" i="3"/>
  <c r="C7" i="3"/>
  <c r="O7" i="3" s="1"/>
  <c r="C8" i="3"/>
  <c r="O8" i="3" s="1"/>
  <c r="C9" i="3"/>
  <c r="O9" i="3" s="1"/>
  <c r="C10" i="3"/>
  <c r="O10" i="3" s="1"/>
  <c r="C11" i="3"/>
  <c r="C12" i="3"/>
  <c r="O12" i="3" s="1"/>
  <c r="C13" i="3"/>
  <c r="O13" i="3" s="1"/>
  <c r="C14" i="3"/>
  <c r="O14" i="3" s="1"/>
  <c r="C15" i="3"/>
  <c r="O15" i="3" s="1"/>
  <c r="C16" i="3"/>
  <c r="O16" i="3" s="1"/>
  <c r="C17" i="3"/>
  <c r="O17" i="3" s="1"/>
  <c r="C18" i="3"/>
  <c r="O18" i="3" s="1"/>
  <c r="C19" i="3"/>
  <c r="O19" i="3" s="1"/>
  <c r="C20" i="3"/>
  <c r="O20" i="3" s="1"/>
  <c r="C29" i="3"/>
  <c r="O29" i="3" s="1"/>
  <c r="C21" i="3"/>
  <c r="O21" i="3" s="1"/>
  <c r="C22" i="3"/>
  <c r="O22" i="3" s="1"/>
  <c r="C23" i="3"/>
  <c r="O23" i="3" s="1"/>
  <c r="C24" i="3"/>
  <c r="O24" i="3" s="1"/>
  <c r="C25" i="3"/>
  <c r="O25" i="3" s="1"/>
  <c r="C26" i="3"/>
  <c r="C27" i="3"/>
  <c r="O27" i="3" s="1"/>
  <c r="C28" i="3"/>
  <c r="O28" i="3" s="1"/>
  <c r="C30" i="3"/>
  <c r="O30" i="3" s="1"/>
  <c r="C31" i="3"/>
  <c r="C32" i="3"/>
  <c r="O32" i="3" s="1"/>
  <c r="C33" i="3"/>
  <c r="O33" i="3" s="1"/>
  <c r="C34" i="3"/>
  <c r="O34" i="3" s="1"/>
  <c r="C36" i="3"/>
  <c r="O36" i="3" s="1"/>
  <c r="C37" i="3"/>
  <c r="O37" i="3" s="1"/>
  <c r="C38" i="3"/>
  <c r="O38" i="3" s="1"/>
  <c r="C39" i="3"/>
  <c r="O39" i="3" s="1"/>
  <c r="C40" i="3"/>
  <c r="O40" i="3" s="1"/>
  <c r="C41" i="3"/>
  <c r="C42" i="3"/>
  <c r="O42" i="3" s="1"/>
  <c r="C43" i="3"/>
  <c r="O43" i="3" s="1"/>
  <c r="C44" i="3"/>
  <c r="O44" i="3" s="1"/>
  <c r="C45" i="3"/>
  <c r="O45" i="3" s="1"/>
  <c r="C46" i="3"/>
  <c r="C47" i="3"/>
  <c r="O47" i="3" s="1"/>
  <c r="C48" i="3"/>
  <c r="O48" i="3" s="1"/>
  <c r="C49" i="3"/>
  <c r="O49" i="3" s="1"/>
  <c r="C50" i="3"/>
  <c r="O50" i="3" s="1"/>
  <c r="C51" i="3"/>
  <c r="O51" i="3" s="1"/>
  <c r="C53" i="3"/>
  <c r="O53" i="3" s="1"/>
  <c r="C54" i="3"/>
  <c r="O54" i="3" s="1"/>
  <c r="C57" i="3"/>
  <c r="C58" i="3"/>
  <c r="C55" i="3"/>
  <c r="O55" i="3" s="1"/>
  <c r="C56" i="3"/>
  <c r="O56" i="3" s="1"/>
  <c r="C60" i="3"/>
  <c r="O60" i="3" s="1"/>
  <c r="C62" i="3"/>
  <c r="C61" i="3"/>
  <c r="O61" i="3" s="1"/>
  <c r="C63" i="3"/>
  <c r="O63" i="3" s="1"/>
  <c r="C64" i="3"/>
  <c r="O64" i="3" s="1"/>
  <c r="C65" i="3"/>
  <c r="O65" i="3" s="1"/>
  <c r="C67" i="3"/>
  <c r="O67" i="3" s="1"/>
  <c r="C66" i="3"/>
  <c r="C68" i="3"/>
  <c r="O68" i="3" s="1"/>
  <c r="C69" i="3"/>
  <c r="C71" i="3"/>
  <c r="C72" i="3"/>
  <c r="C73" i="3"/>
  <c r="C74" i="3"/>
  <c r="C75" i="3"/>
  <c r="O75" i="3" s="1"/>
  <c r="C76" i="3"/>
  <c r="O76" i="3" s="1"/>
  <c r="C77" i="3"/>
  <c r="O77" i="3" s="1"/>
  <c r="C78" i="3"/>
  <c r="O78" i="3" s="1"/>
  <c r="C79" i="3"/>
  <c r="O79" i="3" s="1"/>
  <c r="C80" i="3"/>
  <c r="O80" i="3" s="1"/>
  <c r="S5" i="3"/>
  <c r="S58" i="3"/>
  <c r="R58" i="3"/>
  <c r="M58" i="3"/>
  <c r="S41" i="3"/>
  <c r="R41" i="3"/>
  <c r="M41" i="3"/>
  <c r="S57" i="3"/>
  <c r="R57" i="3"/>
  <c r="M57" i="3"/>
  <c r="S66" i="3"/>
  <c r="R66" i="3"/>
  <c r="M66" i="3"/>
  <c r="O5" i="3" l="1"/>
  <c r="C100" i="3"/>
  <c r="G100" i="3"/>
  <c r="T88" i="3"/>
  <c r="T89" i="3"/>
  <c r="O6" i="3"/>
  <c r="O69" i="3"/>
  <c r="M62" i="3"/>
  <c r="S11" i="3" l="1"/>
  <c r="R11" i="3"/>
  <c r="M11" i="3"/>
  <c r="S46" i="3"/>
  <c r="R46" i="3"/>
  <c r="M46" i="3"/>
  <c r="S31" i="3"/>
  <c r="R31" i="3"/>
  <c r="M31" i="3"/>
  <c r="S71" i="3"/>
  <c r="R71" i="3"/>
  <c r="M71" i="3"/>
  <c r="S26" i="3" l="1"/>
  <c r="R26" i="3"/>
  <c r="M26" i="3"/>
  <c r="N68" i="3" l="1"/>
  <c r="Q61" i="3"/>
  <c r="P44" i="3"/>
  <c r="Q44" i="3" s="1"/>
  <c r="S72" i="3" l="1"/>
  <c r="R72" i="3"/>
  <c r="M72" i="3"/>
  <c r="R5" i="3" l="1"/>
  <c r="S62" i="3"/>
  <c r="R62" i="3"/>
  <c r="Q23" i="3" l="1"/>
  <c r="R9" i="3" l="1"/>
  <c r="Q9" i="3"/>
  <c r="S6" i="3"/>
  <c r="R6" i="3"/>
  <c r="Q6" i="3" l="1"/>
  <c r="Q7" i="3"/>
  <c r="R7" i="3"/>
  <c r="S7" i="3"/>
  <c r="Q8" i="3"/>
  <c r="R8" i="3"/>
  <c r="S8" i="3"/>
  <c r="S9" i="3"/>
  <c r="Q78" i="3" l="1"/>
  <c r="Q75" i="3"/>
  <c r="R20" i="3" l="1"/>
  <c r="Q16" i="3"/>
  <c r="U69" i="3" l="1"/>
  <c r="U101" i="3" s="1"/>
  <c r="Q27" i="3"/>
  <c r="Q19" i="3"/>
  <c r="R14" i="3"/>
  <c r="Q12" i="3"/>
  <c r="M5" i="3" l="1"/>
  <c r="M6" i="3"/>
  <c r="M7" i="3"/>
  <c r="M8" i="3"/>
  <c r="M9" i="3"/>
  <c r="M10" i="3"/>
  <c r="Q10" i="3"/>
  <c r="R10" i="3"/>
  <c r="S10" i="3"/>
  <c r="M12" i="3"/>
  <c r="R12" i="3"/>
  <c r="S12" i="3"/>
  <c r="M13" i="3"/>
  <c r="Q13" i="3"/>
  <c r="R13" i="3"/>
  <c r="S13" i="3"/>
  <c r="M14" i="3"/>
  <c r="Q14" i="3"/>
  <c r="S14" i="3"/>
  <c r="M15" i="3"/>
  <c r="Q15" i="3"/>
  <c r="R15" i="3"/>
  <c r="S15" i="3"/>
  <c r="M16" i="3"/>
  <c r="R16" i="3"/>
  <c r="S16" i="3"/>
  <c r="M17" i="3"/>
  <c r="R17" i="3"/>
  <c r="S17" i="3"/>
  <c r="M18" i="3"/>
  <c r="Q18" i="3"/>
  <c r="R18" i="3"/>
  <c r="S18" i="3"/>
  <c r="M19" i="3"/>
  <c r="R19" i="3"/>
  <c r="S19" i="3"/>
  <c r="M20" i="3"/>
  <c r="S20" i="3"/>
  <c r="M29" i="3"/>
  <c r="Q29" i="3"/>
  <c r="R29" i="3"/>
  <c r="S29" i="3"/>
  <c r="M21" i="3"/>
  <c r="Q21" i="3"/>
  <c r="R21" i="3"/>
  <c r="S21" i="3"/>
  <c r="M22" i="3"/>
  <c r="Q22" i="3"/>
  <c r="R22" i="3"/>
  <c r="S22" i="3"/>
  <c r="M23" i="3"/>
  <c r="R23" i="3"/>
  <c r="S23" i="3"/>
  <c r="M24" i="3"/>
  <c r="Q24" i="3"/>
  <c r="R24" i="3"/>
  <c r="S24" i="3"/>
  <c r="M25" i="3"/>
  <c r="N25" i="3"/>
  <c r="N101" i="3" s="1"/>
  <c r="Q25" i="3"/>
  <c r="R25" i="3"/>
  <c r="S25" i="3"/>
  <c r="M27" i="3"/>
  <c r="R27" i="3"/>
  <c r="S27" i="3"/>
  <c r="M28" i="3"/>
  <c r="Q28" i="3"/>
  <c r="R28" i="3"/>
  <c r="S28" i="3"/>
  <c r="M30" i="3"/>
  <c r="R30" i="3"/>
  <c r="S30" i="3"/>
  <c r="M32" i="3"/>
  <c r="Q32" i="3"/>
  <c r="R32" i="3"/>
  <c r="S32" i="3"/>
  <c r="M33" i="3"/>
  <c r="Q33" i="3"/>
  <c r="R33" i="3"/>
  <c r="S33" i="3"/>
  <c r="M34" i="3"/>
  <c r="R34" i="3"/>
  <c r="S34" i="3"/>
  <c r="M36" i="3"/>
  <c r="Q36" i="3"/>
  <c r="R36" i="3"/>
  <c r="S36" i="3"/>
  <c r="M37" i="3"/>
  <c r="Q37" i="3"/>
  <c r="R37" i="3"/>
  <c r="S37" i="3"/>
  <c r="M38" i="3"/>
  <c r="Q38" i="3"/>
  <c r="R38" i="3"/>
  <c r="S38" i="3"/>
  <c r="M39" i="3"/>
  <c r="Q39" i="3"/>
  <c r="R39" i="3"/>
  <c r="S39" i="3"/>
  <c r="M40" i="3"/>
  <c r="Q40" i="3"/>
  <c r="R40" i="3"/>
  <c r="S40" i="3"/>
  <c r="M42" i="3"/>
  <c r="Q42" i="3"/>
  <c r="R42" i="3"/>
  <c r="S42" i="3"/>
  <c r="M43" i="3"/>
  <c r="Q43" i="3"/>
  <c r="R43" i="3"/>
  <c r="S43" i="3"/>
  <c r="M44" i="3"/>
  <c r="R44" i="3"/>
  <c r="S44" i="3"/>
  <c r="M45" i="3"/>
  <c r="Q45" i="3"/>
  <c r="R45" i="3"/>
  <c r="S45" i="3"/>
  <c r="M47" i="3"/>
  <c r="Q47" i="3"/>
  <c r="R47" i="3"/>
  <c r="S47" i="3"/>
  <c r="M48" i="3"/>
  <c r="Q48" i="3"/>
  <c r="R48" i="3"/>
  <c r="S48" i="3"/>
  <c r="M49" i="3"/>
  <c r="R49" i="3"/>
  <c r="S49" i="3"/>
  <c r="M50" i="3"/>
  <c r="Q50" i="3"/>
  <c r="R50" i="3"/>
  <c r="S50" i="3"/>
  <c r="M51" i="3"/>
  <c r="Q51" i="3"/>
  <c r="R51" i="3"/>
  <c r="S51" i="3"/>
  <c r="M53" i="3"/>
  <c r="R53" i="3"/>
  <c r="S53" i="3"/>
  <c r="M54" i="3"/>
  <c r="Q54" i="3"/>
  <c r="R54" i="3"/>
  <c r="S54" i="3"/>
  <c r="M55" i="3"/>
  <c r="Q55" i="3"/>
  <c r="R55" i="3"/>
  <c r="S55" i="3"/>
  <c r="M56" i="3"/>
  <c r="Q56" i="3"/>
  <c r="R56" i="3"/>
  <c r="S56" i="3"/>
  <c r="M60" i="3"/>
  <c r="Q60" i="3"/>
  <c r="R60" i="3"/>
  <c r="S60" i="3"/>
  <c r="M61" i="3"/>
  <c r="R61" i="3"/>
  <c r="S61" i="3"/>
  <c r="M63" i="3"/>
  <c r="Q63" i="3"/>
  <c r="R63" i="3"/>
  <c r="S63" i="3"/>
  <c r="M64" i="3"/>
  <c r="Q64" i="3"/>
  <c r="R64" i="3"/>
  <c r="S64" i="3"/>
  <c r="M65" i="3"/>
  <c r="Q65" i="3"/>
  <c r="R65" i="3"/>
  <c r="S65" i="3"/>
  <c r="M67" i="3"/>
  <c r="Q67" i="3"/>
  <c r="R67" i="3"/>
  <c r="S67" i="3"/>
  <c r="M68" i="3"/>
  <c r="Q68" i="3"/>
  <c r="R68" i="3"/>
  <c r="S68" i="3"/>
  <c r="M69" i="3"/>
  <c r="Q69" i="3"/>
  <c r="R69" i="3"/>
  <c r="S69" i="3"/>
  <c r="M73" i="3"/>
  <c r="R73" i="3"/>
  <c r="S73" i="3"/>
  <c r="M74" i="3"/>
  <c r="R74" i="3"/>
  <c r="S74" i="3"/>
  <c r="M75" i="3"/>
  <c r="R75" i="3"/>
  <c r="S75" i="3"/>
  <c r="M76" i="3"/>
  <c r="Q76" i="3"/>
  <c r="R76" i="3"/>
  <c r="S76" i="3"/>
  <c r="M77" i="3"/>
  <c r="Q77" i="3"/>
  <c r="R77" i="3"/>
  <c r="S77" i="3"/>
  <c r="M78" i="3"/>
  <c r="R78" i="3"/>
  <c r="S78" i="3"/>
  <c r="M79" i="3"/>
  <c r="Q79" i="3"/>
  <c r="R79" i="3"/>
  <c r="S79" i="3"/>
  <c r="M80" i="3"/>
  <c r="Q80" i="3"/>
  <c r="R80" i="3"/>
  <c r="S80" i="3"/>
  <c r="R101" i="3" l="1"/>
  <c r="Q101" i="3"/>
  <c r="S101" i="3"/>
</calcChain>
</file>

<file path=xl/sharedStrings.xml><?xml version="1.0" encoding="utf-8"?>
<sst xmlns="http://schemas.openxmlformats.org/spreadsheetml/2006/main" count="303" uniqueCount="84">
  <si>
    <t>Taux horaire</t>
  </si>
  <si>
    <t>Ancienneté</t>
  </si>
  <si>
    <t>Heures 
hebdomadaires</t>
  </si>
  <si>
    <t>Indemnité trajet Cadarache</t>
  </si>
  <si>
    <t>Prime repas Cadarache</t>
  </si>
  <si>
    <t>Prime de fonction (maintien)</t>
  </si>
  <si>
    <t>Prime de fin d'année</t>
  </si>
  <si>
    <t>Nombre RTT</t>
  </si>
  <si>
    <t>170 euros une fois par an sur présentation d'un justificatif</t>
  </si>
  <si>
    <t xml:space="preserve"> + 2 jours de RTT par mois et 1 jour d'épargne d'heures tous les deux mois</t>
  </si>
  <si>
    <t>Les jours de RTT peuvent être supprimés en fonction de l'absentéisme (quel qu'en soit le motif y compris congés payés) selon les règles suivantes : 
- Moins de 10 jours travaillés : pas de RTT
- De 10 à 15 jours travaillés : 1 RTT
- Au-delà de 15 jours travaillés : 2 RTT
Les jours de RTT doivent respecter le planning de fermeture du site.</t>
  </si>
  <si>
    <t>Indemnité transport</t>
  </si>
  <si>
    <t>Prime avantages acquis préexistants 2</t>
  </si>
  <si>
    <t>Prime avantages acquis préexistants 1 (prorata)</t>
  </si>
  <si>
    <t>Prime sous vêtements (remboursement frais en avril)</t>
  </si>
  <si>
    <t>Indemnité transport conventionnelle = 20,08€ dont 4€ en net</t>
  </si>
  <si>
    <t>Non proratée sauf si absence tout le mois (hors CP) - ne rentre pas dans le 1/10ème CP</t>
  </si>
  <si>
    <t>6,20</t>
  </si>
  <si>
    <t>6,20€ brut / jour travaillé</t>
  </si>
  <si>
    <t>Proratée à due proportion en cas d'absence (rentre dans le 1/10ème CP)</t>
  </si>
  <si>
    <t>PFA conventionnelle</t>
  </si>
  <si>
    <t>Cette indemnité différentielle temporaire est calculée par la différence entre : 
* la somme totale qui subit les mêmes modalités de proratisation que la prime annuelle conventionnelle, en cas de périodes d'absences du salarié supérieures à un mois, non assimilées à du travail effectif,
* et le montant de la prime annuelle conventionnelle conformément aux dispositions conventionnelles en vigueur à la date du versement.
Cette indemnité différentielle temporaire (non indexée) a donc pour vocation de diminuer jusqu'à ce que le montant de la prime annuelle conventionnelle ait atteint le montant total.
Il est précisé que la somme de la prime annuelle conventionnelle et de l'indemnité différentielle temporaire, ne peut, en tout état de cause, pas excéder le montant total.
Aussi, l'indemnité différentielle temporaire annuelle sera supprimée pour défaut d'objet, lorsque le montant de la prime annuelle conventionnelle aura atteint le montant total.</t>
  </si>
  <si>
    <t>Mensualisation</t>
  </si>
  <si>
    <t>170</t>
  </si>
  <si>
    <t>Montant maximal pour vérification</t>
  </si>
  <si>
    <t>PFA différentielle</t>
  </si>
  <si>
    <t>Montant total (PFA conventionnelle comprise)versée en novembre</t>
  </si>
  <si>
    <t>Saisir le nombre d'heures d'absence (y compris CP) hors RTT</t>
  </si>
  <si>
    <t>Mettre 1 si absent tout le mois (hors CP)</t>
  </si>
  <si>
    <t>Non travaillé dans le mois tombant un jour de planning</t>
  </si>
  <si>
    <t>S75 - M</t>
  </si>
  <si>
    <t>PSD - M</t>
  </si>
  <si>
    <t>PFF - M</t>
  </si>
  <si>
    <t>S33 - M</t>
  </si>
  <si>
    <t>Fixe (sauf si salarié absent tout le mois)</t>
  </si>
  <si>
    <t>Absent(e) tout le mois</t>
  </si>
  <si>
    <t xml:space="preserve">Nbre jours fériés </t>
  </si>
  <si>
    <t>Nbr jours travaillés</t>
  </si>
  <si>
    <t>Nbre heures d'absence</t>
  </si>
  <si>
    <t>Saisir le nombre de jours travaillés au réel, RTT comprises (férié non compris si non travaillé)</t>
  </si>
  <si>
    <t xml:space="preserve">INE - Q </t>
  </si>
  <si>
    <t xml:space="preserve">IRP - Q </t>
  </si>
  <si>
    <t>8€ brut par jour travaillé</t>
  </si>
  <si>
    <t>8,5</t>
  </si>
  <si>
    <t xml:space="preserve">Coefficient </t>
  </si>
  <si>
    <t>CE3</t>
  </si>
  <si>
    <t>AQS 1 B</t>
  </si>
  <si>
    <t>ATQS 3 B</t>
  </si>
  <si>
    <t>Annualisation</t>
  </si>
  <si>
    <t>ASC A</t>
  </si>
  <si>
    <t>12,17</t>
  </si>
  <si>
    <t>ATQS 1B</t>
  </si>
  <si>
    <t>ATQS 2 B</t>
  </si>
  <si>
    <t>ATQS 2 A</t>
  </si>
  <si>
    <t>AQS 3B</t>
  </si>
  <si>
    <t>AQS 2A</t>
  </si>
  <si>
    <t>ASCS A</t>
  </si>
  <si>
    <t>ATQS 1 B</t>
  </si>
  <si>
    <t>CE2</t>
  </si>
  <si>
    <t>ASC B</t>
  </si>
  <si>
    <t>AQS 2B</t>
  </si>
  <si>
    <t>AQS 1A</t>
  </si>
  <si>
    <t>AQS 1B</t>
  </si>
  <si>
    <t>ATQS 2A</t>
  </si>
  <si>
    <t>ASCS B</t>
  </si>
  <si>
    <t>12,41</t>
  </si>
  <si>
    <t>CE1</t>
  </si>
  <si>
    <t>ATQS 2B</t>
  </si>
  <si>
    <t>ASP A</t>
  </si>
  <si>
    <t xml:space="preserve">AQS 3A </t>
  </si>
  <si>
    <t xml:space="preserve">Salaire brut </t>
  </si>
  <si>
    <t>ATQS 3A</t>
  </si>
  <si>
    <t>ATQS 3B</t>
  </si>
  <si>
    <t xml:space="preserve">ASC A </t>
  </si>
  <si>
    <t>ACSC B</t>
  </si>
  <si>
    <t xml:space="preserve">Prime spécifique </t>
  </si>
  <si>
    <t>2,91</t>
  </si>
  <si>
    <t xml:space="preserve">2,91 brut par jours trvaillé </t>
  </si>
  <si>
    <t xml:space="preserve"> + 12 jours AAP (absence autorisé payé)/ an</t>
  </si>
  <si>
    <t>29,05</t>
  </si>
  <si>
    <t xml:space="preserve"> + 12 jours de RTT </t>
  </si>
  <si>
    <t>Prime d'expérience</t>
  </si>
  <si>
    <t>après 4 ans d’expérience professionnelle :
2% 
après 6 ans d’expérience professionnelle :
3% 
après 8 ans d’expérience professionnelle :
4% 
après 10 ans d’expérience professionnelle:
5% 
après 15 ans d’expérience professionnelle :
5,5%4 
après 20 ans d’expérience professionnelle au
1er janvier 2013 : 6%</t>
  </si>
  <si>
    <t xml:space="preserve">PFA / FEP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</si>
</sst>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0" x14ac:knownFonts="1">
    <font>
      <sz val="10"/>
      <name val="Arial"/>
    </font>
    <font>
      <sz val="10"/>
      <name val="Arial"/>
    </font>
    <font>
      <b/>
      <sz val="10"/>
      <name val="Verdana"/>
      <family val="2"/>
    </font>
    <font>
      <sz val="10"/>
      <name val="Verdana"/>
      <family val="2"/>
    </font>
    <font>
      <b/>
      <i/>
      <sz val="8"/>
      <color theme="3" tint="0.39997558519241921"/>
      <name val="Verdana"/>
      <family val="2"/>
    </font>
    <font>
      <i/>
      <sz val="8"/>
      <color theme="3" tint="0.39997558519241921"/>
      <name val="Verdana"/>
      <family val="2"/>
    </font>
    <font>
      <b/>
      <i/>
      <sz val="8"/>
      <color rgb="FFFF0000"/>
      <name val="Verdana"/>
      <family val="2"/>
    </font>
    <font>
      <i/>
      <sz val="8"/>
      <color rgb="FFFF0000"/>
      <name val="Verdana"/>
      <family val="2"/>
    </font>
    <font>
      <sz val="10"/>
      <color rgb="FFFF0000"/>
      <name val="Verdana"/>
      <family val="2"/>
    </font>
    <font>
      <sz val="8"/>
      <name val="Arial"/>
    </font>
  </fonts>
  <fills count="10">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theme="0" tint="-0.499984740745262"/>
        <bgColor indexed="64"/>
      </patternFill>
    </fill>
    <fill>
      <patternFill patternType="solid">
        <fgColor rgb="FFCCFFFF"/>
        <bgColor indexed="64"/>
      </patternFill>
    </fill>
    <fill>
      <patternFill patternType="solid">
        <fgColor theme="6" tint="0.59999389629810485"/>
        <bgColor indexed="64"/>
      </patternFill>
    </fill>
    <fill>
      <patternFill patternType="solid">
        <fgColor theme="1" tint="0.49998474074526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18">
    <xf numFmtId="0" fontId="0" fillId="0" borderId="0" xfId="0"/>
    <xf numFmtId="49" fontId="2" fillId="0" borderId="0" xfId="0" applyNumberFormat="1" applyFont="1" applyFill="1" applyBorder="1" applyAlignment="1">
      <alignment horizontal="left" vertical="center"/>
    </xf>
    <xf numFmtId="49" fontId="3" fillId="0" borderId="0" xfId="0" applyNumberFormat="1" applyFont="1" applyFill="1" applyBorder="1" applyAlignment="1">
      <alignment horizontal="left" vertical="center"/>
    </xf>
    <xf numFmtId="49" fontId="3" fillId="0" borderId="0" xfId="0" applyNumberFormat="1" applyFont="1" applyFill="1" applyBorder="1" applyAlignment="1">
      <alignment horizontal="left" vertical="center" wrapText="1"/>
    </xf>
    <xf numFmtId="2" fontId="3" fillId="0" borderId="0" xfId="0" applyNumberFormat="1" applyFont="1" applyFill="1" applyBorder="1" applyAlignment="1">
      <alignment horizontal="left" vertical="center" wrapText="1"/>
    </xf>
    <xf numFmtId="14" fontId="3" fillId="0" borderId="0" xfId="0" applyNumberFormat="1" applyFont="1" applyFill="1" applyBorder="1" applyAlignment="1">
      <alignment horizontal="left" vertical="center" wrapText="1"/>
    </xf>
    <xf numFmtId="2"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44" fontId="3" fillId="0" borderId="0" xfId="1" applyFont="1" applyFill="1" applyBorder="1" applyAlignment="1">
      <alignment horizontal="left" vertical="center"/>
    </xf>
    <xf numFmtId="14" fontId="3" fillId="0" borderId="0" xfId="0" applyNumberFormat="1" applyFont="1" applyFill="1" applyBorder="1" applyAlignment="1">
      <alignment horizontal="left" vertical="center"/>
    </xf>
    <xf numFmtId="44" fontId="3" fillId="0" borderId="0" xfId="1" applyFont="1" applyFill="1" applyBorder="1" applyAlignment="1">
      <alignment horizontal="right" vertical="center"/>
    </xf>
    <xf numFmtId="44" fontId="3" fillId="5" borderId="1" xfId="1" applyFont="1" applyFill="1" applyBorder="1" applyAlignment="1" applyProtection="1">
      <alignment horizontal="right" vertical="center" wrapText="1"/>
      <protection locked="0"/>
    </xf>
    <xf numFmtId="49" fontId="3" fillId="5" borderId="1" xfId="0" applyNumberFormat="1" applyFont="1" applyFill="1" applyBorder="1" applyAlignment="1" applyProtection="1">
      <alignment horizontal="left" vertical="center" wrapText="1"/>
      <protection locked="0"/>
    </xf>
    <xf numFmtId="44" fontId="3" fillId="4" borderId="1" xfId="1" applyFont="1" applyFill="1" applyBorder="1" applyAlignment="1" applyProtection="1">
      <alignment horizontal="left" vertical="center" wrapText="1"/>
      <protection locked="0"/>
    </xf>
    <xf numFmtId="44" fontId="3" fillId="4" borderId="1" xfId="1" applyFont="1" applyFill="1" applyBorder="1" applyAlignment="1">
      <alignment horizontal="left" vertical="center"/>
    </xf>
    <xf numFmtId="1" fontId="3" fillId="0" borderId="0" xfId="0" applyNumberFormat="1" applyFont="1" applyFill="1" applyBorder="1" applyAlignment="1" applyProtection="1">
      <alignment horizontal="right" vertical="center"/>
      <protection locked="0"/>
    </xf>
    <xf numFmtId="2" fontId="3" fillId="0" borderId="1" xfId="0" applyNumberFormat="1" applyFont="1" applyFill="1" applyBorder="1" applyAlignment="1" applyProtection="1">
      <alignment horizontal="right" vertical="center" wrapText="1"/>
      <protection locked="0"/>
    </xf>
    <xf numFmtId="2" fontId="3" fillId="0" borderId="1" xfId="0" applyNumberFormat="1" applyFont="1" applyFill="1" applyBorder="1" applyAlignment="1" applyProtection="1">
      <alignment horizontal="right" vertical="center"/>
      <protection locked="0"/>
    </xf>
    <xf numFmtId="2" fontId="3" fillId="0" borderId="0" xfId="0" applyNumberFormat="1" applyFont="1" applyFill="1" applyBorder="1" applyAlignment="1" applyProtection="1">
      <alignment horizontal="right" vertical="center"/>
      <protection locked="0"/>
    </xf>
    <xf numFmtId="49" fontId="3" fillId="0" borderId="0" xfId="0" applyNumberFormat="1" applyFont="1" applyFill="1" applyBorder="1" applyAlignment="1">
      <alignment horizontal="right" vertical="center"/>
    </xf>
    <xf numFmtId="0" fontId="3" fillId="0" borderId="0" xfId="1" applyNumberFormat="1" applyFont="1" applyFill="1" applyBorder="1" applyAlignment="1">
      <alignment horizontal="right" vertical="center" wrapText="1"/>
    </xf>
    <xf numFmtId="0" fontId="3" fillId="0" borderId="0" xfId="0" applyNumberFormat="1" applyFont="1" applyFill="1" applyBorder="1" applyAlignment="1">
      <alignment horizontal="right" vertical="center"/>
    </xf>
    <xf numFmtId="44" fontId="3" fillId="7" borderId="1" xfId="0" applyNumberFormat="1" applyFont="1" applyFill="1" applyBorder="1" applyAlignment="1" applyProtection="1">
      <alignment horizontal="left" vertical="center" wrapText="1"/>
      <protection locked="0"/>
    </xf>
    <xf numFmtId="2" fontId="3" fillId="7" borderId="1" xfId="0" applyNumberFormat="1" applyFont="1" applyFill="1" applyBorder="1" applyAlignment="1" applyProtection="1">
      <alignment horizontal="right" vertical="center" wrapText="1"/>
      <protection locked="0"/>
    </xf>
    <xf numFmtId="1" fontId="3" fillId="7" borderId="1" xfId="0" applyNumberFormat="1" applyFont="1" applyFill="1" applyBorder="1" applyAlignment="1" applyProtection="1">
      <alignment horizontal="right" vertical="center" wrapText="1"/>
      <protection locked="0"/>
    </xf>
    <xf numFmtId="2" fontId="3" fillId="7" borderId="1" xfId="0" applyNumberFormat="1" applyFont="1" applyFill="1" applyBorder="1" applyAlignment="1" applyProtection="1">
      <alignment horizontal="right" vertical="center"/>
      <protection locked="0"/>
    </xf>
    <xf numFmtId="1" fontId="3" fillId="7" borderId="1" xfId="0" applyNumberFormat="1" applyFont="1" applyFill="1" applyBorder="1" applyAlignment="1" applyProtection="1">
      <alignment horizontal="right" vertical="center"/>
      <protection locked="0"/>
    </xf>
    <xf numFmtId="2" fontId="3" fillId="0" borderId="0" xfId="0" applyNumberFormat="1" applyFont="1" applyFill="1" applyBorder="1" applyAlignment="1">
      <alignment horizontal="right" vertical="center"/>
    </xf>
    <xf numFmtId="2" fontId="3" fillId="4" borderId="1" xfId="0" applyNumberFormat="1" applyFont="1" applyFill="1" applyBorder="1" applyAlignment="1" applyProtection="1">
      <alignment horizontal="right" vertical="center" wrapText="1"/>
    </xf>
    <xf numFmtId="164" fontId="3" fillId="6" borderId="1" xfId="0" applyNumberFormat="1" applyFont="1" applyFill="1" applyBorder="1" applyAlignment="1" applyProtection="1">
      <alignment horizontal="right" vertical="center" wrapText="1"/>
    </xf>
    <xf numFmtId="44" fontId="3" fillId="4" borderId="1" xfId="1" applyFont="1" applyFill="1" applyBorder="1" applyAlignment="1" applyProtection="1">
      <alignment horizontal="right" vertical="center" wrapText="1"/>
    </xf>
    <xf numFmtId="0" fontId="3" fillId="8" borderId="1" xfId="1" applyNumberFormat="1" applyFont="1" applyFill="1" applyBorder="1" applyAlignment="1" applyProtection="1">
      <alignment horizontal="right" vertical="center" wrapText="1"/>
    </xf>
    <xf numFmtId="2" fontId="3" fillId="8" borderId="1" xfId="0" applyNumberFormat="1" applyFont="1" applyFill="1" applyBorder="1" applyAlignment="1" applyProtection="1">
      <alignment horizontal="right" vertical="center" wrapText="1"/>
    </xf>
    <xf numFmtId="49" fontId="3" fillId="6" borderId="1" xfId="0" applyNumberFormat="1" applyFont="1" applyFill="1" applyBorder="1" applyAlignment="1" applyProtection="1">
      <alignment horizontal="right" vertical="center" wrapText="1"/>
    </xf>
    <xf numFmtId="2" fontId="3" fillId="8" borderId="1" xfId="1" applyNumberFormat="1" applyFont="1" applyFill="1" applyBorder="1" applyAlignment="1" applyProtection="1">
      <alignment horizontal="right" vertical="center" wrapText="1"/>
    </xf>
    <xf numFmtId="0" fontId="3" fillId="2" borderId="1" xfId="0" applyNumberFormat="1" applyFont="1" applyFill="1" applyBorder="1" applyAlignment="1" applyProtection="1">
      <alignment horizontal="right" vertical="center" wrapText="1"/>
    </xf>
    <xf numFmtId="0" fontId="3" fillId="2" borderId="1" xfId="0" applyNumberFormat="1" applyFont="1" applyFill="1" applyBorder="1" applyAlignment="1" applyProtection="1">
      <alignment horizontal="right" vertical="center"/>
    </xf>
    <xf numFmtId="0" fontId="3" fillId="6" borderId="1" xfId="1" applyNumberFormat="1" applyFont="1" applyFill="1" applyBorder="1" applyAlignment="1" applyProtection="1">
      <alignment horizontal="right" vertical="center" wrapText="1"/>
    </xf>
    <xf numFmtId="164" fontId="3" fillId="8" borderId="1" xfId="0" applyNumberFormat="1" applyFont="1" applyFill="1" applyBorder="1" applyAlignment="1" applyProtection="1">
      <alignment horizontal="right" vertical="center"/>
    </xf>
    <xf numFmtId="164" fontId="3" fillId="6" borderId="1" xfId="0" applyNumberFormat="1" applyFont="1" applyFill="1" applyBorder="1" applyAlignment="1" applyProtection="1">
      <alignment horizontal="right" vertical="center"/>
    </xf>
    <xf numFmtId="49" fontId="2" fillId="3" borderId="1" xfId="0" applyNumberFormat="1" applyFont="1" applyFill="1" applyBorder="1" applyAlignment="1" applyProtection="1">
      <alignment vertical="center"/>
    </xf>
    <xf numFmtId="2" fontId="2" fillId="3" borderId="1" xfId="0" applyNumberFormat="1" applyFont="1" applyFill="1" applyBorder="1" applyAlignment="1" applyProtection="1">
      <alignment vertical="center" wrapText="1"/>
    </xf>
    <xf numFmtId="14" fontId="2" fillId="3" borderId="1" xfId="0" applyNumberFormat="1" applyFont="1" applyFill="1" applyBorder="1" applyAlignment="1" applyProtection="1">
      <alignment vertical="center" wrapText="1"/>
    </xf>
    <xf numFmtId="49" fontId="2" fillId="3" borderId="1" xfId="0" applyNumberFormat="1" applyFont="1" applyFill="1" applyBorder="1" applyAlignment="1" applyProtection="1">
      <alignment horizontal="left" vertical="center" wrapText="1"/>
    </xf>
    <xf numFmtId="49" fontId="4" fillId="3" borderId="1" xfId="0" applyNumberFormat="1" applyFont="1" applyFill="1" applyBorder="1" applyAlignment="1" applyProtection="1">
      <alignment vertical="center"/>
    </xf>
    <xf numFmtId="2" fontId="5" fillId="3" borderId="1" xfId="0" applyNumberFormat="1" applyFont="1" applyFill="1" applyBorder="1" applyAlignment="1" applyProtection="1">
      <alignment vertical="center" wrapText="1"/>
    </xf>
    <xf numFmtId="14" fontId="5" fillId="3" borderId="1" xfId="0" applyNumberFormat="1" applyFont="1" applyFill="1" applyBorder="1" applyAlignment="1" applyProtection="1">
      <alignment vertical="center" wrapText="1"/>
    </xf>
    <xf numFmtId="2" fontId="4" fillId="3" borderId="1" xfId="0" applyNumberFormat="1" applyFont="1" applyFill="1" applyBorder="1" applyAlignment="1" applyProtection="1">
      <alignment vertical="center" wrapText="1"/>
    </xf>
    <xf numFmtId="49" fontId="6" fillId="3" borderId="1" xfId="0" applyNumberFormat="1" applyFont="1" applyFill="1" applyBorder="1" applyAlignment="1" applyProtection="1">
      <alignment horizontal="left" vertical="center"/>
    </xf>
    <xf numFmtId="2" fontId="7" fillId="3" borderId="1" xfId="0" applyNumberFormat="1" applyFont="1" applyFill="1" applyBorder="1" applyAlignment="1" applyProtection="1">
      <alignment horizontal="left" vertical="center" wrapText="1"/>
    </xf>
    <xf numFmtId="14" fontId="7" fillId="3" borderId="1" xfId="0" applyNumberFormat="1" applyFont="1" applyFill="1" applyBorder="1" applyAlignment="1" applyProtection="1">
      <alignment horizontal="left" vertical="center" wrapText="1"/>
    </xf>
    <xf numFmtId="2" fontId="6" fillId="3" borderId="1" xfId="0" applyNumberFormat="1" applyFont="1" applyFill="1" applyBorder="1" applyAlignment="1" applyProtection="1">
      <alignment horizontal="left" vertical="center" wrapText="1"/>
    </xf>
    <xf numFmtId="49" fontId="2" fillId="3" borderId="1" xfId="0" applyNumberFormat="1" applyFont="1" applyFill="1" applyBorder="1" applyAlignment="1" applyProtection="1">
      <alignment horizontal="left" vertical="center"/>
    </xf>
    <xf numFmtId="2" fontId="3" fillId="3" borderId="1" xfId="0" applyNumberFormat="1" applyFont="1" applyFill="1" applyBorder="1" applyAlignment="1" applyProtection="1">
      <alignment horizontal="left" vertical="center" wrapText="1"/>
    </xf>
    <xf numFmtId="14" fontId="3" fillId="3" borderId="1" xfId="0" applyNumberFormat="1" applyFont="1" applyFill="1" applyBorder="1" applyAlignment="1" applyProtection="1">
      <alignment horizontal="left" vertical="center" wrapText="1"/>
    </xf>
    <xf numFmtId="49" fontId="3" fillId="3" borderId="1" xfId="0" applyNumberFormat="1" applyFont="1" applyFill="1" applyBorder="1" applyAlignment="1" applyProtection="1">
      <alignment horizontal="left" vertical="center" wrapText="1"/>
    </xf>
    <xf numFmtId="49" fontId="2" fillId="2" borderId="1" xfId="0" applyNumberFormat="1" applyFont="1" applyFill="1" applyBorder="1" applyAlignment="1" applyProtection="1">
      <alignment horizontal="left" vertical="center" wrapText="1"/>
    </xf>
    <xf numFmtId="2" fontId="3" fillId="3" borderId="1" xfId="0" applyNumberFormat="1" applyFont="1" applyFill="1" applyBorder="1" applyAlignment="1" applyProtection="1">
      <alignment horizontal="left" vertical="center"/>
    </xf>
    <xf numFmtId="49" fontId="2" fillId="3" borderId="1" xfId="0" quotePrefix="1" applyNumberFormat="1" applyFont="1" applyFill="1" applyBorder="1" applyAlignment="1" applyProtection="1">
      <alignment horizontal="left" vertical="center"/>
    </xf>
    <xf numFmtId="1" fontId="2" fillId="0" borderId="1" xfId="0" applyNumberFormat="1" applyFont="1" applyFill="1" applyBorder="1" applyAlignment="1" applyProtection="1">
      <alignment horizontal="left" vertical="center" wrapText="1"/>
    </xf>
    <xf numFmtId="2" fontId="2" fillId="0" borderId="1" xfId="0" applyNumberFormat="1" applyFont="1" applyFill="1" applyBorder="1" applyAlignment="1" applyProtection="1">
      <alignment horizontal="left" vertical="center" wrapText="1"/>
    </xf>
    <xf numFmtId="49" fontId="2" fillId="4" borderId="1" xfId="0" applyNumberFormat="1" applyFont="1" applyFill="1" applyBorder="1" applyAlignment="1" applyProtection="1">
      <alignment vertical="center" wrapText="1"/>
    </xf>
    <xf numFmtId="164" fontId="2" fillId="2" borderId="1" xfId="0" applyNumberFormat="1" applyFont="1" applyFill="1" applyBorder="1" applyAlignment="1" applyProtection="1">
      <alignment vertical="center" wrapText="1"/>
    </xf>
    <xf numFmtId="0" fontId="2" fillId="2" borderId="1" xfId="1"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left" vertical="center" wrapText="1"/>
    </xf>
    <xf numFmtId="44" fontId="2" fillId="4" borderId="1" xfId="1" applyFont="1" applyFill="1" applyBorder="1" applyAlignment="1" applyProtection="1">
      <alignment vertical="center" wrapText="1"/>
    </xf>
    <xf numFmtId="49" fontId="2" fillId="0" borderId="1" xfId="0" applyNumberFormat="1" applyFont="1" applyFill="1" applyBorder="1" applyAlignment="1" applyProtection="1">
      <alignment vertical="center" wrapText="1"/>
    </xf>
    <xf numFmtId="49" fontId="2" fillId="5" borderId="1" xfId="0" applyNumberFormat="1" applyFont="1" applyFill="1" applyBorder="1" applyAlignment="1" applyProtection="1">
      <alignment vertical="center" wrapText="1"/>
    </xf>
    <xf numFmtId="44" fontId="2" fillId="5" borderId="1" xfId="1" applyFont="1" applyFill="1" applyBorder="1" applyAlignment="1" applyProtection="1">
      <alignment vertical="center" wrapText="1"/>
    </xf>
    <xf numFmtId="49" fontId="2" fillId="0" borderId="0" xfId="0" applyNumberFormat="1" applyFont="1" applyFill="1" applyBorder="1" applyAlignment="1" applyProtection="1">
      <alignment vertical="center"/>
    </xf>
    <xf numFmtId="1" fontId="4" fillId="0" borderId="1" xfId="0" applyNumberFormat="1" applyFont="1" applyFill="1" applyBorder="1" applyAlignment="1" applyProtection="1">
      <alignment horizontal="left" vertical="center"/>
    </xf>
    <xf numFmtId="49" fontId="4" fillId="0" borderId="0" xfId="0" applyNumberFormat="1" applyFont="1" applyFill="1" applyBorder="1" applyAlignment="1" applyProtection="1">
      <alignment vertical="center"/>
    </xf>
    <xf numFmtId="1" fontId="4" fillId="0" borderId="1" xfId="0" applyNumberFormat="1" applyFont="1" applyFill="1" applyBorder="1" applyAlignment="1" applyProtection="1">
      <alignment horizontal="left" vertical="center" wrapText="1"/>
    </xf>
    <xf numFmtId="2" fontId="4"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49" fontId="4" fillId="4" borderId="1" xfId="0" applyNumberFormat="1" applyFont="1" applyFill="1" applyBorder="1" applyAlignment="1" applyProtection="1">
      <alignment vertical="center" wrapText="1"/>
    </xf>
    <xf numFmtId="164" fontId="4" fillId="2" borderId="1" xfId="0" applyNumberFormat="1" applyFont="1" applyFill="1" applyBorder="1" applyAlignment="1" applyProtection="1">
      <alignment vertical="center" wrapText="1"/>
    </xf>
    <xf numFmtId="0" fontId="4" fillId="2" borderId="1" xfId="1" applyNumberFormat="1" applyFont="1" applyFill="1" applyBorder="1" applyAlignment="1" applyProtection="1">
      <alignment horizontal="left" vertical="center" wrapText="1"/>
    </xf>
    <xf numFmtId="49" fontId="4" fillId="2" borderId="1" xfId="0" applyNumberFormat="1" applyFont="1" applyFill="1" applyBorder="1" applyAlignment="1" applyProtection="1">
      <alignment horizontal="left" vertical="center" wrapText="1"/>
    </xf>
    <xf numFmtId="0" fontId="4" fillId="2" borderId="1" xfId="0" applyNumberFormat="1" applyFont="1" applyFill="1" applyBorder="1" applyAlignment="1" applyProtection="1">
      <alignment horizontal="left" vertical="center" wrapText="1"/>
    </xf>
    <xf numFmtId="44" fontId="4" fillId="4" borderId="1" xfId="1" applyFont="1" applyFill="1" applyBorder="1" applyAlignment="1" applyProtection="1">
      <alignment vertical="center" wrapText="1"/>
    </xf>
    <xf numFmtId="49" fontId="4" fillId="0" borderId="1" xfId="0" applyNumberFormat="1" applyFont="1" applyFill="1" applyBorder="1" applyAlignment="1" applyProtection="1">
      <alignment vertical="center" wrapText="1"/>
    </xf>
    <xf numFmtId="49" fontId="4" fillId="5" borderId="1" xfId="0" applyNumberFormat="1" applyFont="1" applyFill="1" applyBorder="1" applyAlignment="1" applyProtection="1">
      <alignment vertical="center" wrapText="1"/>
    </xf>
    <xf numFmtId="44" fontId="4" fillId="5" borderId="1" xfId="1" applyFont="1" applyFill="1" applyBorder="1" applyAlignment="1" applyProtection="1">
      <alignment horizontal="right" vertical="center" wrapText="1"/>
    </xf>
    <xf numFmtId="1" fontId="6" fillId="0" borderId="1" xfId="0" applyNumberFormat="1" applyFont="1" applyFill="1" applyBorder="1" applyAlignment="1" applyProtection="1">
      <alignment horizontal="left" vertical="center" wrapText="1"/>
    </xf>
    <xf numFmtId="2" fontId="6" fillId="0" borderId="1" xfId="0" applyNumberFormat="1" applyFont="1" applyFill="1" applyBorder="1" applyAlignment="1" applyProtection="1">
      <alignment horizontal="left" vertical="center" wrapText="1"/>
    </xf>
    <xf numFmtId="49" fontId="6" fillId="4" borderId="1" xfId="0" applyNumberFormat="1" applyFont="1" applyFill="1" applyBorder="1" applyAlignment="1" applyProtection="1">
      <alignment horizontal="right" vertical="center" wrapText="1"/>
    </xf>
    <xf numFmtId="164" fontId="6" fillId="2" borderId="1" xfId="0" applyNumberFormat="1" applyFont="1" applyFill="1" applyBorder="1" applyAlignment="1" applyProtection="1">
      <alignment horizontal="left" vertical="center" wrapText="1"/>
    </xf>
    <xf numFmtId="49" fontId="6" fillId="4" borderId="1" xfId="0" applyNumberFormat="1" applyFont="1" applyFill="1" applyBorder="1" applyAlignment="1" applyProtection="1">
      <alignment horizontal="left" vertical="center" wrapText="1"/>
    </xf>
    <xf numFmtId="0" fontId="6" fillId="2" borderId="1" xfId="1" applyNumberFormat="1" applyFont="1" applyFill="1" applyBorder="1" applyAlignment="1" applyProtection="1">
      <alignment horizontal="left" vertical="center" wrapText="1"/>
    </xf>
    <xf numFmtId="49" fontId="6" fillId="2" borderId="1" xfId="0" applyNumberFormat="1" applyFont="1" applyFill="1" applyBorder="1" applyAlignment="1" applyProtection="1">
      <alignment horizontal="right" vertical="center" wrapText="1"/>
    </xf>
    <xf numFmtId="0" fontId="6" fillId="2" borderId="1" xfId="0" applyNumberFormat="1" applyFont="1" applyFill="1" applyBorder="1" applyAlignment="1" applyProtection="1">
      <alignment horizontal="right" vertical="center" wrapText="1"/>
    </xf>
    <xf numFmtId="44" fontId="6" fillId="4" borderId="1" xfId="1"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49" fontId="6" fillId="5" borderId="1" xfId="0" applyNumberFormat="1" applyFont="1" applyFill="1" applyBorder="1" applyAlignment="1" applyProtection="1">
      <alignment horizontal="left" vertical="center" wrapText="1"/>
    </xf>
    <xf numFmtId="44" fontId="6" fillId="5" borderId="1" xfId="1" applyFont="1" applyFill="1" applyBorder="1" applyAlignment="1" applyProtection="1">
      <alignment horizontal="left" vertical="center" wrapText="1"/>
    </xf>
    <xf numFmtId="49" fontId="6" fillId="0" borderId="0" xfId="0" applyNumberFormat="1" applyFont="1" applyFill="1" applyBorder="1" applyAlignment="1" applyProtection="1">
      <alignment horizontal="left" vertical="center"/>
    </xf>
    <xf numFmtId="2" fontId="3" fillId="2" borderId="1" xfId="0" applyNumberFormat="1" applyFont="1" applyFill="1" applyBorder="1" applyAlignment="1" applyProtection="1">
      <alignment horizontal="left" vertical="center" wrapText="1"/>
    </xf>
    <xf numFmtId="49" fontId="2" fillId="2" borderId="1" xfId="0" applyNumberFormat="1" applyFont="1" applyFill="1" applyBorder="1" applyAlignment="1" applyProtection="1">
      <alignment horizontal="left" vertical="center"/>
    </xf>
    <xf numFmtId="49" fontId="3" fillId="3" borderId="1" xfId="0" applyNumberFormat="1" applyFont="1" applyFill="1" applyBorder="1" applyAlignment="1" applyProtection="1">
      <alignment horizontal="left" vertical="center"/>
    </xf>
    <xf numFmtId="14" fontId="3" fillId="2" borderId="1" xfId="0" applyNumberFormat="1" applyFont="1" applyFill="1" applyBorder="1" applyAlignment="1" applyProtection="1">
      <alignment horizontal="left" vertical="center" wrapText="1"/>
    </xf>
    <xf numFmtId="2" fontId="3" fillId="2" borderId="1" xfId="0" applyNumberFormat="1" applyFont="1" applyFill="1" applyBorder="1" applyAlignment="1" applyProtection="1">
      <alignment horizontal="left" vertical="center"/>
    </xf>
    <xf numFmtId="0" fontId="8" fillId="2" borderId="1" xfId="1" applyNumberFormat="1" applyFont="1" applyFill="1" applyBorder="1" applyAlignment="1" applyProtection="1">
      <alignment horizontal="right" vertical="center" wrapText="1"/>
    </xf>
    <xf numFmtId="44" fontId="3" fillId="9" borderId="1" xfId="1" applyFont="1" applyFill="1" applyBorder="1" applyAlignment="1" applyProtection="1">
      <alignment horizontal="right" vertical="center" wrapText="1"/>
    </xf>
    <xf numFmtId="49" fontId="3" fillId="8" borderId="1" xfId="0" applyNumberFormat="1" applyFont="1" applyFill="1" applyBorder="1" applyAlignment="1" applyProtection="1">
      <alignment horizontal="right" vertical="center" wrapText="1"/>
    </xf>
    <xf numFmtId="0" fontId="6" fillId="2" borderId="1" xfId="2" applyNumberFormat="1" applyFont="1" applyFill="1" applyBorder="1" applyAlignment="1" applyProtection="1">
      <alignment horizontal="left" vertical="center" wrapText="1"/>
    </xf>
    <xf numFmtId="164" fontId="3" fillId="4" borderId="1" xfId="0" applyNumberFormat="1" applyFont="1" applyFill="1" applyBorder="1" applyAlignment="1" applyProtection="1">
      <alignment horizontal="right" vertical="center" wrapText="1"/>
    </xf>
    <xf numFmtId="164" fontId="3" fillId="4" borderId="1" xfId="0" applyNumberFormat="1" applyFont="1" applyFill="1" applyBorder="1" applyAlignment="1" applyProtection="1">
      <alignment horizontal="right" vertical="center"/>
    </xf>
    <xf numFmtId="164" fontId="3" fillId="9" borderId="1" xfId="0" applyNumberFormat="1" applyFont="1" applyFill="1" applyBorder="1" applyAlignment="1" applyProtection="1">
      <alignment horizontal="right" vertical="center" wrapText="1"/>
    </xf>
    <xf numFmtId="164" fontId="3" fillId="9" borderId="1" xfId="0" applyNumberFormat="1" applyFont="1" applyFill="1" applyBorder="1" applyAlignment="1" applyProtection="1">
      <alignment horizontal="right" vertical="center"/>
    </xf>
    <xf numFmtId="0" fontId="3" fillId="9" borderId="1" xfId="1" applyNumberFormat="1" applyFont="1" applyFill="1" applyBorder="1" applyAlignment="1" applyProtection="1">
      <alignment horizontal="right" vertical="center" wrapText="1"/>
    </xf>
    <xf numFmtId="2" fontId="3" fillId="2" borderId="1" xfId="0" applyNumberFormat="1" applyFont="1" applyFill="1" applyBorder="1" applyAlignment="1" applyProtection="1">
      <alignment horizontal="right" vertical="center" wrapText="1"/>
      <protection locked="0"/>
    </xf>
    <xf numFmtId="2" fontId="3" fillId="2" borderId="1" xfId="0" applyNumberFormat="1" applyFont="1" applyFill="1" applyBorder="1" applyAlignment="1" applyProtection="1">
      <alignment horizontal="right" vertical="center"/>
      <protection locked="0"/>
    </xf>
    <xf numFmtId="0" fontId="3" fillId="4" borderId="1" xfId="1" applyNumberFormat="1" applyFont="1" applyFill="1" applyBorder="1" applyAlignment="1" applyProtection="1">
      <alignment horizontal="right" vertical="center" wrapText="1"/>
    </xf>
    <xf numFmtId="2" fontId="3" fillId="4" borderId="1" xfId="0" applyNumberFormat="1" applyFont="1" applyFill="1" applyBorder="1" applyAlignment="1" applyProtection="1">
      <alignment horizontal="right" vertical="center"/>
      <protection locked="0"/>
    </xf>
    <xf numFmtId="44" fontId="3" fillId="4" borderId="1" xfId="0" applyNumberFormat="1" applyFont="1" applyFill="1" applyBorder="1" applyAlignment="1" applyProtection="1">
      <alignment horizontal="left" vertical="center" wrapText="1"/>
      <protection locked="0"/>
    </xf>
    <xf numFmtId="49" fontId="3" fillId="4" borderId="1" xfId="0" applyNumberFormat="1" applyFont="1" applyFill="1" applyBorder="1" applyAlignment="1" applyProtection="1">
      <alignment horizontal="left" vertical="center" wrapText="1"/>
      <protection locked="0"/>
    </xf>
    <xf numFmtId="44" fontId="3" fillId="4" borderId="1" xfId="1" applyFont="1" applyFill="1" applyBorder="1" applyAlignment="1" applyProtection="1">
      <alignment horizontal="right" vertical="center" wrapText="1"/>
      <protection locked="0"/>
    </xf>
  </cellXfs>
  <cellStyles count="3">
    <cellStyle name="Monétaire" xfId="1" builtinId="4"/>
    <cellStyle name="Normal" xfId="0" builtinId="0"/>
    <cellStyle name="Pourcentage" xfId="2" builtinId="5"/>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1"/>
  <sheetViews>
    <sheetView tabSelected="1" topLeftCell="X1" zoomScaleNormal="100" workbookViewId="0">
      <pane ySplit="2" topLeftCell="A62" activePane="bottomLeft" state="frozen"/>
      <selection pane="bottomLeft" activeCell="X80" sqref="X80"/>
    </sheetView>
  </sheetViews>
  <sheetFormatPr baseColWidth="10" defaultColWidth="10.7109375" defaultRowHeight="12.75" outlineLevelRow="1" outlineLevelCol="1" x14ac:dyDescent="0.2"/>
  <cols>
    <col min="1" max="1" width="13" style="1" bestFit="1" customWidth="1"/>
    <col min="2" max="2" width="14.28515625" style="6" bestFit="1" customWidth="1" outlineLevel="1"/>
    <col min="3" max="3" width="13.28515625" style="6" bestFit="1" customWidth="1" outlineLevel="1"/>
    <col min="4" max="4" width="13" style="9" bestFit="1" customWidth="1" outlineLevel="1"/>
    <col min="5" max="5" width="17.5703125" style="6" bestFit="1" customWidth="1" outlineLevel="1"/>
    <col min="6" max="6" width="17" style="6" bestFit="1" customWidth="1" outlineLevel="1"/>
    <col min="7" max="7" width="15.42578125" style="6" bestFit="1" customWidth="1" outlineLevel="1"/>
    <col min="8" max="8" width="12.140625" style="15" bestFit="1" customWidth="1"/>
    <col min="9" max="9" width="9.5703125" style="15" bestFit="1" customWidth="1"/>
    <col min="10" max="10" width="13.28515625" style="15" bestFit="1" customWidth="1"/>
    <col min="11" max="11" width="19.85546875" style="18" bestFit="1" customWidth="1"/>
    <col min="12" max="12" width="18" style="18" bestFit="1" customWidth="1"/>
    <col min="13" max="13" width="16.42578125" style="2" bestFit="1" customWidth="1"/>
    <col min="14" max="14" width="16.42578125" style="7" bestFit="1" customWidth="1"/>
    <col min="15" max="15" width="44.85546875" style="7" bestFit="1" customWidth="1"/>
    <col min="16" max="16" width="16.42578125" style="3" bestFit="1" customWidth="1"/>
    <col min="17" max="17" width="19" style="20" bestFit="1" customWidth="1"/>
    <col min="18" max="18" width="13.85546875" style="19" bestFit="1" customWidth="1"/>
    <col min="19" max="19" width="12.42578125" style="19" bestFit="1" customWidth="1"/>
    <col min="20" max="20" width="11.85546875" style="19" bestFit="1" customWidth="1"/>
    <col min="21" max="21" width="19.28515625" style="21" bestFit="1" customWidth="1"/>
    <col min="22" max="22" width="16.42578125" style="8" bestFit="1" customWidth="1"/>
    <col min="23" max="24" width="90" style="2" customWidth="1"/>
    <col min="25" max="25" width="74.28515625" style="2" bestFit="1" customWidth="1" outlineLevel="1"/>
    <col min="26" max="26" width="22.7109375" style="10" bestFit="1" customWidth="1"/>
    <col min="27" max="16384" width="10.7109375" style="2"/>
  </cols>
  <sheetData>
    <row r="1" spans="1:26" s="69" customFormat="1" ht="63.75" x14ac:dyDescent="0.2">
      <c r="A1" s="40" t="s">
        <v>44</v>
      </c>
      <c r="B1" s="41" t="s">
        <v>0</v>
      </c>
      <c r="C1" s="41" t="s">
        <v>70</v>
      </c>
      <c r="D1" s="42" t="s">
        <v>1</v>
      </c>
      <c r="E1" s="41" t="s">
        <v>2</v>
      </c>
      <c r="F1" s="41" t="s">
        <v>22</v>
      </c>
      <c r="G1" s="41" t="s">
        <v>48</v>
      </c>
      <c r="H1" s="59" t="s">
        <v>35</v>
      </c>
      <c r="I1" s="59" t="s">
        <v>36</v>
      </c>
      <c r="J1" s="59" t="s">
        <v>37</v>
      </c>
      <c r="K1" s="60" t="s">
        <v>38</v>
      </c>
      <c r="L1" s="60" t="s">
        <v>20</v>
      </c>
      <c r="M1" s="61" t="s">
        <v>11</v>
      </c>
      <c r="N1" s="62" t="s">
        <v>12</v>
      </c>
      <c r="O1" s="62" t="s">
        <v>81</v>
      </c>
      <c r="P1" s="61" t="s">
        <v>13</v>
      </c>
      <c r="Q1" s="63" t="s">
        <v>13</v>
      </c>
      <c r="R1" s="56" t="s">
        <v>3</v>
      </c>
      <c r="S1" s="56" t="s">
        <v>4</v>
      </c>
      <c r="T1" s="56" t="s">
        <v>75</v>
      </c>
      <c r="U1" s="64" t="s">
        <v>5</v>
      </c>
      <c r="V1" s="65" t="s">
        <v>6</v>
      </c>
      <c r="W1" s="66" t="s">
        <v>25</v>
      </c>
      <c r="X1" s="66" t="s">
        <v>83</v>
      </c>
      <c r="Y1" s="67" t="s">
        <v>7</v>
      </c>
      <c r="Z1" s="68" t="s">
        <v>14</v>
      </c>
    </row>
    <row r="2" spans="1:26" s="69" customFormat="1" x14ac:dyDescent="0.2">
      <c r="A2" s="40"/>
      <c r="B2" s="41"/>
      <c r="C2" s="41"/>
      <c r="D2" s="42"/>
      <c r="E2" s="41"/>
      <c r="F2" s="41"/>
      <c r="G2" s="41"/>
      <c r="H2" s="59"/>
      <c r="I2" s="59"/>
      <c r="J2" s="59"/>
      <c r="K2" s="60"/>
      <c r="L2" s="60"/>
      <c r="M2" s="61"/>
      <c r="N2" s="62" t="s">
        <v>30</v>
      </c>
      <c r="O2" s="62"/>
      <c r="P2" s="61"/>
      <c r="Q2" s="63" t="s">
        <v>31</v>
      </c>
      <c r="R2" s="56" t="s">
        <v>40</v>
      </c>
      <c r="S2" s="56" t="s">
        <v>41</v>
      </c>
      <c r="T2" s="56"/>
      <c r="U2" s="64" t="s">
        <v>33</v>
      </c>
      <c r="V2" s="65"/>
      <c r="W2" s="66" t="s">
        <v>32</v>
      </c>
      <c r="X2" s="66"/>
      <c r="Y2" s="67"/>
      <c r="Z2" s="68"/>
    </row>
    <row r="3" spans="1:26" s="71" customFormat="1" ht="126" outlineLevel="1" x14ac:dyDescent="0.2">
      <c r="A3" s="44"/>
      <c r="B3" s="45"/>
      <c r="C3" s="45"/>
      <c r="D3" s="46"/>
      <c r="E3" s="47"/>
      <c r="F3" s="47"/>
      <c r="G3" s="47"/>
      <c r="H3" s="70"/>
      <c r="J3" s="72"/>
      <c r="K3" s="73"/>
      <c r="L3" s="74"/>
      <c r="M3" s="75" t="s">
        <v>15</v>
      </c>
      <c r="N3" s="76" t="s">
        <v>16</v>
      </c>
      <c r="O3" s="76" t="s">
        <v>82</v>
      </c>
      <c r="P3" s="75" t="s">
        <v>19</v>
      </c>
      <c r="Q3" s="77" t="s">
        <v>19</v>
      </c>
      <c r="R3" s="78" t="s">
        <v>18</v>
      </c>
      <c r="S3" s="78" t="s">
        <v>42</v>
      </c>
      <c r="T3" s="78" t="s">
        <v>77</v>
      </c>
      <c r="U3" s="79" t="s">
        <v>34</v>
      </c>
      <c r="V3" s="80" t="s">
        <v>26</v>
      </c>
      <c r="W3" s="81" t="s">
        <v>21</v>
      </c>
      <c r="X3" s="81"/>
      <c r="Y3" s="82" t="s">
        <v>10</v>
      </c>
      <c r="Z3" s="83" t="s">
        <v>8</v>
      </c>
    </row>
    <row r="4" spans="1:26" s="96" customFormat="1" ht="105" outlineLevel="1" x14ac:dyDescent="0.2">
      <c r="A4" s="48"/>
      <c r="B4" s="49"/>
      <c r="C4" s="49"/>
      <c r="D4" s="50"/>
      <c r="E4" s="51"/>
      <c r="F4" s="51"/>
      <c r="G4" s="51"/>
      <c r="H4" s="84" t="s">
        <v>28</v>
      </c>
      <c r="I4" s="84" t="s">
        <v>29</v>
      </c>
      <c r="J4" s="84" t="s">
        <v>39</v>
      </c>
      <c r="K4" s="85" t="s">
        <v>27</v>
      </c>
      <c r="L4" s="85"/>
      <c r="M4" s="86" t="s">
        <v>79</v>
      </c>
      <c r="N4" s="87">
        <v>0</v>
      </c>
      <c r="O4" s="105"/>
      <c r="P4" s="88" t="s">
        <v>24</v>
      </c>
      <c r="Q4" s="89"/>
      <c r="R4" s="90" t="s">
        <v>17</v>
      </c>
      <c r="S4" s="90" t="s">
        <v>43</v>
      </c>
      <c r="T4" s="90" t="s">
        <v>76</v>
      </c>
      <c r="U4" s="91"/>
      <c r="V4" s="92" t="s">
        <v>24</v>
      </c>
      <c r="W4" s="93"/>
      <c r="X4" s="93"/>
      <c r="Y4" s="94"/>
      <c r="Z4" s="95"/>
    </row>
    <row r="5" spans="1:26" x14ac:dyDescent="0.2">
      <c r="A5" s="52" t="s">
        <v>46</v>
      </c>
      <c r="B5" s="53">
        <v>12.51</v>
      </c>
      <c r="C5" s="53">
        <f t="shared" ref="C5:C71" si="0">B5*F5</f>
        <v>1897.3916999999999</v>
      </c>
      <c r="D5" s="54">
        <v>38261.083333333336</v>
      </c>
      <c r="E5" s="53">
        <v>35</v>
      </c>
      <c r="F5" s="53">
        <v>151.66999999999999</v>
      </c>
      <c r="G5" s="53">
        <f t="shared" ref="G5:G71" si="1">F5*12</f>
        <v>1820.04</v>
      </c>
      <c r="H5" s="24"/>
      <c r="I5" s="24"/>
      <c r="J5" s="24">
        <v>22</v>
      </c>
      <c r="K5" s="23"/>
      <c r="L5" s="16">
        <v>194.75</v>
      </c>
      <c r="M5" s="28" t="str">
        <f t="shared" ref="M5:M36" si="2">IF(H5=1,0,IF((F5-K5)&lt;104,$M$4/151.67*(F5-K5),$M$4))</f>
        <v>29,05</v>
      </c>
      <c r="N5" s="29"/>
      <c r="O5" s="106">
        <f>C5*0.055</f>
        <v>104.3565435</v>
      </c>
      <c r="P5" s="30">
        <v>170.57</v>
      </c>
      <c r="Q5" s="31">
        <f t="shared" ref="Q5:Q10" si="3">IF(H5=1,0,P5/F5*(F5-K5))</f>
        <v>170.57</v>
      </c>
      <c r="R5" s="32">
        <f t="shared" ref="R5:R34" si="4">IF(H5=1,0,$R$4*J5)</f>
        <v>136.4</v>
      </c>
      <c r="S5" s="32">
        <f t="shared" ref="S5:S34" si="5">IF(H5=1,0,$S$4*J5)</f>
        <v>187</v>
      </c>
      <c r="T5" s="32"/>
      <c r="U5" s="35"/>
      <c r="V5" s="13">
        <v>1086.79</v>
      </c>
      <c r="W5" s="22">
        <f>(V5*0.79)-L5</f>
        <v>663.81410000000005</v>
      </c>
      <c r="X5" s="22">
        <v>194.75</v>
      </c>
      <c r="Y5" s="12" t="s">
        <v>78</v>
      </c>
      <c r="Z5" s="11">
        <v>170</v>
      </c>
    </row>
    <row r="6" spans="1:26" x14ac:dyDescent="0.2">
      <c r="A6" s="52" t="s">
        <v>47</v>
      </c>
      <c r="B6" s="53">
        <v>14.79</v>
      </c>
      <c r="C6" s="53">
        <f t="shared" si="0"/>
        <v>2243.1992999999998</v>
      </c>
      <c r="D6" s="54">
        <v>35219.083333333336</v>
      </c>
      <c r="E6" s="53">
        <v>35</v>
      </c>
      <c r="F6" s="53">
        <v>151.66999999999999</v>
      </c>
      <c r="G6" s="53">
        <f t="shared" si="1"/>
        <v>1820.04</v>
      </c>
      <c r="H6" s="24"/>
      <c r="I6" s="24"/>
      <c r="J6" s="24">
        <v>22</v>
      </c>
      <c r="K6" s="23"/>
      <c r="L6" s="16">
        <v>197.62</v>
      </c>
      <c r="M6" s="28" t="str">
        <f t="shared" si="2"/>
        <v>29,05</v>
      </c>
      <c r="N6" s="29"/>
      <c r="O6" s="106">
        <f>C69*0.06</f>
        <v>134.59195799999998</v>
      </c>
      <c r="P6" s="30">
        <v>14.27</v>
      </c>
      <c r="Q6" s="31">
        <f t="shared" si="3"/>
        <v>14.27</v>
      </c>
      <c r="R6" s="32">
        <f t="shared" si="4"/>
        <v>136.4</v>
      </c>
      <c r="S6" s="32">
        <f t="shared" si="5"/>
        <v>187</v>
      </c>
      <c r="T6" s="32">
        <f>T4*J6</f>
        <v>64.02000000000001</v>
      </c>
      <c r="U6" s="35"/>
      <c r="V6" s="13">
        <v>1400</v>
      </c>
      <c r="W6" s="22">
        <f>(V6*0.54)-L6</f>
        <v>558.38</v>
      </c>
      <c r="X6" s="22">
        <v>197.62</v>
      </c>
      <c r="Y6" s="12" t="s">
        <v>9</v>
      </c>
      <c r="Z6" s="11" t="s">
        <v>23</v>
      </c>
    </row>
    <row r="7" spans="1:26" x14ac:dyDescent="0.2">
      <c r="A7" s="52" t="s">
        <v>45</v>
      </c>
      <c r="B7" s="53">
        <v>14.96</v>
      </c>
      <c r="C7" s="53">
        <f t="shared" si="0"/>
        <v>2268.9832000000001</v>
      </c>
      <c r="D7" s="54">
        <v>31623.083333333332</v>
      </c>
      <c r="E7" s="53">
        <v>35</v>
      </c>
      <c r="F7" s="53">
        <v>151.66999999999999</v>
      </c>
      <c r="G7" s="53">
        <f t="shared" si="1"/>
        <v>1820.04</v>
      </c>
      <c r="H7" s="24"/>
      <c r="I7" s="24"/>
      <c r="J7" s="24">
        <v>22</v>
      </c>
      <c r="K7" s="23"/>
      <c r="L7" s="16">
        <v>368</v>
      </c>
      <c r="M7" s="28" t="str">
        <f t="shared" si="2"/>
        <v>29,05</v>
      </c>
      <c r="N7" s="29"/>
      <c r="O7" s="106">
        <f>C7*0.06</f>
        <v>136.138992</v>
      </c>
      <c r="P7" s="30">
        <v>46.59</v>
      </c>
      <c r="Q7" s="34">
        <f t="shared" si="3"/>
        <v>46.59</v>
      </c>
      <c r="R7" s="32">
        <f t="shared" si="4"/>
        <v>136.4</v>
      </c>
      <c r="S7" s="32">
        <f t="shared" si="5"/>
        <v>187</v>
      </c>
      <c r="T7" s="32">
        <f>T4*J7</f>
        <v>64.02000000000001</v>
      </c>
      <c r="U7" s="35"/>
      <c r="V7" s="13">
        <v>1400</v>
      </c>
      <c r="W7" s="22">
        <f>(V7*1)-L7</f>
        <v>1032</v>
      </c>
      <c r="X7" s="22">
        <v>368</v>
      </c>
      <c r="Y7" s="12" t="s">
        <v>9</v>
      </c>
      <c r="Z7" s="11" t="s">
        <v>23</v>
      </c>
    </row>
    <row r="8" spans="1:26" x14ac:dyDescent="0.2">
      <c r="A8" s="52" t="s">
        <v>47</v>
      </c>
      <c r="B8" s="53">
        <v>14.79</v>
      </c>
      <c r="C8" s="53">
        <f t="shared" si="0"/>
        <v>2243.1992999999998</v>
      </c>
      <c r="D8" s="54">
        <v>32995.083333333336</v>
      </c>
      <c r="E8" s="53">
        <v>35</v>
      </c>
      <c r="F8" s="53">
        <v>151.66999999999999</v>
      </c>
      <c r="G8" s="53">
        <f t="shared" si="1"/>
        <v>1820.04</v>
      </c>
      <c r="H8" s="24"/>
      <c r="I8" s="24"/>
      <c r="J8" s="24">
        <v>22</v>
      </c>
      <c r="K8" s="23"/>
      <c r="L8" s="16">
        <v>197.62</v>
      </c>
      <c r="M8" s="28" t="str">
        <f t="shared" si="2"/>
        <v>29,05</v>
      </c>
      <c r="N8" s="29"/>
      <c r="O8" s="106">
        <f>C8*0.06</f>
        <v>134.59195799999998</v>
      </c>
      <c r="P8" s="30">
        <v>46.59</v>
      </c>
      <c r="Q8" s="31">
        <f t="shared" si="3"/>
        <v>46.59</v>
      </c>
      <c r="R8" s="32">
        <f t="shared" si="4"/>
        <v>136.4</v>
      </c>
      <c r="S8" s="32">
        <f t="shared" si="5"/>
        <v>187</v>
      </c>
      <c r="T8" s="32">
        <f>T4*J8</f>
        <v>64.02000000000001</v>
      </c>
      <c r="U8" s="35"/>
      <c r="V8" s="13">
        <v>1400</v>
      </c>
      <c r="W8" s="22">
        <f>(V8*0.54)-L8</f>
        <v>558.38</v>
      </c>
      <c r="X8" s="22">
        <v>197.62</v>
      </c>
      <c r="Y8" s="12" t="s">
        <v>9</v>
      </c>
      <c r="Z8" s="11" t="s">
        <v>23</v>
      </c>
    </row>
    <row r="9" spans="1:26" x14ac:dyDescent="0.2">
      <c r="A9" s="52" t="s">
        <v>47</v>
      </c>
      <c r="B9" s="53">
        <v>14.79</v>
      </c>
      <c r="C9" s="53">
        <f t="shared" si="0"/>
        <v>2243.1992999999998</v>
      </c>
      <c r="D9" s="54">
        <v>35227.083333333336</v>
      </c>
      <c r="E9" s="53">
        <v>35</v>
      </c>
      <c r="F9" s="53">
        <v>151.66999999999999</v>
      </c>
      <c r="G9" s="53">
        <f t="shared" si="1"/>
        <v>1820.04</v>
      </c>
      <c r="H9" s="24"/>
      <c r="I9" s="24"/>
      <c r="J9" s="24">
        <v>22</v>
      </c>
      <c r="K9" s="23"/>
      <c r="L9" s="16">
        <v>368</v>
      </c>
      <c r="M9" s="28" t="str">
        <f t="shared" si="2"/>
        <v>29,05</v>
      </c>
      <c r="N9" s="29"/>
      <c r="O9" s="106">
        <f>C9*0.06</f>
        <v>134.59195799999998</v>
      </c>
      <c r="P9" s="30">
        <v>456.59</v>
      </c>
      <c r="Q9" s="31">
        <f t="shared" si="3"/>
        <v>456.59</v>
      </c>
      <c r="R9" s="32">
        <f t="shared" si="4"/>
        <v>136.4</v>
      </c>
      <c r="S9" s="32">
        <f t="shared" si="5"/>
        <v>187</v>
      </c>
      <c r="T9" s="32">
        <f>T4*J9</f>
        <v>64.02000000000001</v>
      </c>
      <c r="U9" s="35"/>
      <c r="V9" s="13">
        <v>1400</v>
      </c>
      <c r="W9" s="22">
        <f>(V9*1)-L9</f>
        <v>1032</v>
      </c>
      <c r="X9" s="22">
        <v>368</v>
      </c>
      <c r="Y9" s="12" t="s">
        <v>9</v>
      </c>
      <c r="Z9" s="11" t="s">
        <v>23</v>
      </c>
    </row>
    <row r="10" spans="1:26" x14ac:dyDescent="0.2">
      <c r="A10" s="98" t="s">
        <v>49</v>
      </c>
      <c r="B10" s="97">
        <v>12.17</v>
      </c>
      <c r="C10" s="97">
        <f t="shared" si="0"/>
        <v>1476.5861</v>
      </c>
      <c r="D10" s="100">
        <v>39573.083333333336</v>
      </c>
      <c r="E10" s="97">
        <v>28</v>
      </c>
      <c r="F10" s="97">
        <v>121.33</v>
      </c>
      <c r="G10" s="53">
        <f t="shared" si="1"/>
        <v>1455.96</v>
      </c>
      <c r="H10" s="24"/>
      <c r="I10" s="24"/>
      <c r="J10" s="24">
        <v>22</v>
      </c>
      <c r="K10" s="23"/>
      <c r="L10" s="111"/>
      <c r="M10" s="28" t="str">
        <f t="shared" si="2"/>
        <v>29,05</v>
      </c>
      <c r="N10" s="29"/>
      <c r="O10" s="106">
        <f>C10*0.055</f>
        <v>81.212235500000006</v>
      </c>
      <c r="P10" s="30">
        <v>170.57</v>
      </c>
      <c r="Q10" s="34">
        <f t="shared" si="3"/>
        <v>170.57</v>
      </c>
      <c r="R10" s="32">
        <f t="shared" si="4"/>
        <v>136.4</v>
      </c>
      <c r="S10" s="32">
        <f t="shared" si="5"/>
        <v>187</v>
      </c>
      <c r="T10" s="32"/>
      <c r="U10" s="36"/>
      <c r="V10" s="13"/>
      <c r="W10" s="22">
        <f>(V10*0.79)-L10</f>
        <v>0</v>
      </c>
      <c r="X10" s="22">
        <v>163.99</v>
      </c>
      <c r="Y10" s="12" t="s">
        <v>78</v>
      </c>
      <c r="Z10" s="11" t="s">
        <v>23</v>
      </c>
    </row>
    <row r="11" spans="1:26" x14ac:dyDescent="0.2">
      <c r="A11" s="52" t="s">
        <v>49</v>
      </c>
      <c r="B11" s="99" t="s">
        <v>50</v>
      </c>
      <c r="C11" s="53">
        <f t="shared" si="0"/>
        <v>1845.8238999999999</v>
      </c>
      <c r="D11" s="54">
        <v>44445</v>
      </c>
      <c r="E11" s="53">
        <v>35</v>
      </c>
      <c r="F11" s="99">
        <v>151.66999999999999</v>
      </c>
      <c r="G11" s="53">
        <f t="shared" si="1"/>
        <v>1820.04</v>
      </c>
      <c r="H11" s="24"/>
      <c r="I11" s="24"/>
      <c r="J11" s="24">
        <v>22</v>
      </c>
      <c r="K11" s="23"/>
      <c r="L11" s="111"/>
      <c r="M11" s="28" t="str">
        <f t="shared" si="2"/>
        <v>29,05</v>
      </c>
      <c r="N11" s="29"/>
      <c r="O11" s="108"/>
      <c r="P11" s="103"/>
      <c r="Q11" s="37"/>
      <c r="R11" s="32">
        <f t="shared" si="4"/>
        <v>136.4</v>
      </c>
      <c r="S11" s="32">
        <f t="shared" si="5"/>
        <v>187</v>
      </c>
      <c r="T11" s="32">
        <f>T4*J11</f>
        <v>64.02000000000001</v>
      </c>
      <c r="U11" s="35"/>
      <c r="V11" s="13"/>
      <c r="W11" s="22">
        <f t="shared" ref="W11:W66" si="6">(V11*0.79)-L11</f>
        <v>0</v>
      </c>
      <c r="X11" s="22">
        <v>246.39</v>
      </c>
      <c r="Y11" s="12" t="s">
        <v>78</v>
      </c>
      <c r="Z11" s="11" t="s">
        <v>23</v>
      </c>
    </row>
    <row r="12" spans="1:26" x14ac:dyDescent="0.2">
      <c r="A12" s="52" t="s">
        <v>45</v>
      </c>
      <c r="B12" s="53">
        <v>14.96</v>
      </c>
      <c r="C12" s="53">
        <f t="shared" si="0"/>
        <v>2268.9832000000001</v>
      </c>
      <c r="D12" s="54">
        <v>41386.083333333336</v>
      </c>
      <c r="E12" s="53">
        <v>35</v>
      </c>
      <c r="F12" s="53">
        <v>151.66999999999999</v>
      </c>
      <c r="G12" s="53">
        <f t="shared" si="1"/>
        <v>1820.04</v>
      </c>
      <c r="H12" s="24"/>
      <c r="I12" s="24"/>
      <c r="J12" s="24">
        <v>22</v>
      </c>
      <c r="K12" s="23"/>
      <c r="L12" s="111"/>
      <c r="M12" s="28" t="str">
        <f t="shared" si="2"/>
        <v>29,05</v>
      </c>
      <c r="N12" s="29"/>
      <c r="O12" s="106">
        <f>C12*0.05</f>
        <v>113.44916000000001</v>
      </c>
      <c r="P12" s="30">
        <v>109.24</v>
      </c>
      <c r="Q12" s="31">
        <f>IF(H12=1,0,P12/F12*(F12-K12))</f>
        <v>109.24</v>
      </c>
      <c r="R12" s="32">
        <f t="shared" si="4"/>
        <v>136.4</v>
      </c>
      <c r="S12" s="32">
        <f t="shared" si="5"/>
        <v>187</v>
      </c>
      <c r="T12" s="32">
        <f>T4*J12</f>
        <v>64.02000000000001</v>
      </c>
      <c r="U12" s="31">
        <v>150</v>
      </c>
      <c r="V12" s="13"/>
      <c r="W12" s="22">
        <f t="shared" si="6"/>
        <v>0</v>
      </c>
      <c r="X12" s="22">
        <v>246.39</v>
      </c>
      <c r="Y12" s="12" t="s">
        <v>78</v>
      </c>
      <c r="Z12" s="11" t="s">
        <v>23</v>
      </c>
    </row>
    <row r="13" spans="1:26" x14ac:dyDescent="0.2">
      <c r="A13" s="52" t="s">
        <v>47</v>
      </c>
      <c r="B13" s="53">
        <v>14.79</v>
      </c>
      <c r="C13" s="53">
        <f t="shared" si="0"/>
        <v>2243.1992999999998</v>
      </c>
      <c r="D13" s="54">
        <v>38497.083333333336</v>
      </c>
      <c r="E13" s="53">
        <v>35</v>
      </c>
      <c r="F13" s="53">
        <v>151.66999999999999</v>
      </c>
      <c r="G13" s="53">
        <f t="shared" si="1"/>
        <v>1820.04</v>
      </c>
      <c r="H13" s="24"/>
      <c r="I13" s="24"/>
      <c r="J13" s="24">
        <v>22</v>
      </c>
      <c r="K13" s="23"/>
      <c r="L13" s="111"/>
      <c r="M13" s="28" t="str">
        <f t="shared" si="2"/>
        <v>29,05</v>
      </c>
      <c r="N13" s="29"/>
      <c r="O13" s="106">
        <f>C13*0.055</f>
        <v>123.37596149999999</v>
      </c>
      <c r="P13" s="30">
        <v>109.24</v>
      </c>
      <c r="Q13" s="31">
        <f>IF(H13=1,0,P13/F13*(F13-K13))</f>
        <v>109.24</v>
      </c>
      <c r="R13" s="32">
        <f t="shared" si="4"/>
        <v>136.4</v>
      </c>
      <c r="S13" s="32">
        <f t="shared" si="5"/>
        <v>187</v>
      </c>
      <c r="T13" s="32">
        <f>T4*J13</f>
        <v>64.02000000000001</v>
      </c>
      <c r="U13" s="35"/>
      <c r="V13" s="13"/>
      <c r="W13" s="22">
        <f t="shared" si="6"/>
        <v>0</v>
      </c>
      <c r="X13" s="22">
        <v>246.39</v>
      </c>
      <c r="Y13" s="12" t="s">
        <v>78</v>
      </c>
      <c r="Z13" s="11" t="s">
        <v>23</v>
      </c>
    </row>
    <row r="14" spans="1:26" x14ac:dyDescent="0.2">
      <c r="A14" s="52" t="s">
        <v>51</v>
      </c>
      <c r="B14" s="53">
        <v>12.97</v>
      </c>
      <c r="C14" s="53">
        <f t="shared" si="0"/>
        <v>1967.1598999999999</v>
      </c>
      <c r="D14" s="54">
        <v>34596.083333333336</v>
      </c>
      <c r="E14" s="53">
        <v>35</v>
      </c>
      <c r="F14" s="53">
        <v>151.66999999999999</v>
      </c>
      <c r="G14" s="53">
        <f t="shared" si="1"/>
        <v>1820.04</v>
      </c>
      <c r="H14" s="24"/>
      <c r="I14" s="24"/>
      <c r="J14" s="24">
        <v>22</v>
      </c>
      <c r="K14" s="23"/>
      <c r="L14" s="16">
        <v>368</v>
      </c>
      <c r="M14" s="28" t="str">
        <f t="shared" si="2"/>
        <v>29,05</v>
      </c>
      <c r="N14" s="29"/>
      <c r="O14" s="106">
        <f>C14*0.06</f>
        <v>118.02959399999999</v>
      </c>
      <c r="P14" s="30">
        <v>46.59</v>
      </c>
      <c r="Q14" s="31">
        <f>IF(H14=1,0,P14/F14*(F14-K14))</f>
        <v>46.59</v>
      </c>
      <c r="R14" s="32">
        <f t="shared" si="4"/>
        <v>136.4</v>
      </c>
      <c r="S14" s="32">
        <f t="shared" si="5"/>
        <v>187</v>
      </c>
      <c r="T14" s="32">
        <f>T4*J14</f>
        <v>64.02000000000001</v>
      </c>
      <c r="U14" s="35"/>
      <c r="V14" s="13">
        <v>1400</v>
      </c>
      <c r="W14" s="22">
        <f>(V14*1)-L14</f>
        <v>1032</v>
      </c>
      <c r="X14" s="22">
        <v>368</v>
      </c>
      <c r="Y14" s="12" t="s">
        <v>9</v>
      </c>
      <c r="Z14" s="11" t="s">
        <v>23</v>
      </c>
    </row>
    <row r="15" spans="1:26" x14ac:dyDescent="0.2">
      <c r="A15" s="52" t="s">
        <v>52</v>
      </c>
      <c r="B15" s="53">
        <v>13.72</v>
      </c>
      <c r="C15" s="53">
        <f t="shared" si="0"/>
        <v>2080.9123999999997</v>
      </c>
      <c r="D15" s="54">
        <v>32238.083333333332</v>
      </c>
      <c r="E15" s="53">
        <v>35</v>
      </c>
      <c r="F15" s="53">
        <v>151.66999999999999</v>
      </c>
      <c r="G15" s="53">
        <f t="shared" si="1"/>
        <v>1820.04</v>
      </c>
      <c r="H15" s="24"/>
      <c r="I15" s="24"/>
      <c r="J15" s="24">
        <v>22</v>
      </c>
      <c r="K15" s="23"/>
      <c r="L15" s="16">
        <v>368</v>
      </c>
      <c r="M15" s="28" t="str">
        <f t="shared" si="2"/>
        <v>29,05</v>
      </c>
      <c r="N15" s="29"/>
      <c r="O15" s="106">
        <f>C15*0.06</f>
        <v>124.85474399999998</v>
      </c>
      <c r="P15" s="30">
        <v>46.59</v>
      </c>
      <c r="Q15" s="31">
        <f>IF(H15=1,0,P15/F15*(F15-K15))</f>
        <v>46.59</v>
      </c>
      <c r="R15" s="32">
        <f t="shared" si="4"/>
        <v>136.4</v>
      </c>
      <c r="S15" s="32">
        <f t="shared" si="5"/>
        <v>187</v>
      </c>
      <c r="T15" s="32">
        <f>T4*J15</f>
        <v>64.02000000000001</v>
      </c>
      <c r="U15" s="35"/>
      <c r="V15" s="13">
        <v>1400</v>
      </c>
      <c r="W15" s="22">
        <f>(V15*1)-L15</f>
        <v>1032</v>
      </c>
      <c r="X15" s="22">
        <v>368</v>
      </c>
      <c r="Y15" s="12" t="s">
        <v>9</v>
      </c>
      <c r="Z15" s="11" t="s">
        <v>23</v>
      </c>
    </row>
    <row r="16" spans="1:26" x14ac:dyDescent="0.2">
      <c r="A16" s="52" t="s">
        <v>53</v>
      </c>
      <c r="B16" s="53">
        <v>13.48</v>
      </c>
      <c r="C16" s="53">
        <f t="shared" si="0"/>
        <v>2044.5115999999998</v>
      </c>
      <c r="D16" s="54">
        <v>40602.041666666664</v>
      </c>
      <c r="E16" s="53">
        <v>35</v>
      </c>
      <c r="F16" s="53">
        <v>151.66999999999999</v>
      </c>
      <c r="G16" s="53">
        <f t="shared" si="1"/>
        <v>1820.04</v>
      </c>
      <c r="H16" s="24"/>
      <c r="I16" s="24"/>
      <c r="J16" s="24">
        <v>22</v>
      </c>
      <c r="K16" s="23"/>
      <c r="L16" s="111"/>
      <c r="M16" s="28" t="str">
        <f t="shared" si="2"/>
        <v>29,05</v>
      </c>
      <c r="N16" s="29"/>
      <c r="O16" s="106">
        <f>C16*0.05</f>
        <v>102.22557999999999</v>
      </c>
      <c r="P16" s="30">
        <v>109.23</v>
      </c>
      <c r="Q16" s="31">
        <f>IF(H16=1,0,P16/F16*(F16-K16))</f>
        <v>109.23</v>
      </c>
      <c r="R16" s="32">
        <f t="shared" si="4"/>
        <v>136.4</v>
      </c>
      <c r="S16" s="32">
        <f t="shared" si="5"/>
        <v>187</v>
      </c>
      <c r="T16" s="32"/>
      <c r="U16" s="35"/>
      <c r="V16" s="13"/>
      <c r="W16" s="22">
        <f t="shared" si="6"/>
        <v>0</v>
      </c>
      <c r="X16" s="22">
        <v>246.39</v>
      </c>
      <c r="Y16" s="12" t="s">
        <v>78</v>
      </c>
      <c r="Z16" s="11" t="s">
        <v>23</v>
      </c>
    </row>
    <row r="17" spans="1:26" x14ac:dyDescent="0.2">
      <c r="A17" s="98" t="s">
        <v>49</v>
      </c>
      <c r="B17" s="97">
        <v>12.17</v>
      </c>
      <c r="C17" s="97">
        <f t="shared" si="0"/>
        <v>1476.5861</v>
      </c>
      <c r="D17" s="100">
        <v>38250.083333333336</v>
      </c>
      <c r="E17" s="97">
        <v>28</v>
      </c>
      <c r="F17" s="97">
        <v>121.33</v>
      </c>
      <c r="G17" s="53">
        <f t="shared" si="1"/>
        <v>1455.96</v>
      </c>
      <c r="H17" s="24"/>
      <c r="I17" s="24"/>
      <c r="J17" s="24">
        <v>22</v>
      </c>
      <c r="K17" s="23"/>
      <c r="L17" s="16">
        <v>197.12</v>
      </c>
      <c r="M17" s="28" t="str">
        <f t="shared" si="2"/>
        <v>29,05</v>
      </c>
      <c r="N17" s="29"/>
      <c r="O17" s="106">
        <f>C17*0.06</f>
        <v>88.595165999999992</v>
      </c>
      <c r="P17" s="103"/>
      <c r="Q17" s="37"/>
      <c r="R17" s="32">
        <f t="shared" si="4"/>
        <v>136.4</v>
      </c>
      <c r="S17" s="32">
        <f t="shared" si="5"/>
        <v>187</v>
      </c>
      <c r="T17" s="32">
        <f>T4*J17</f>
        <v>64.02000000000001</v>
      </c>
      <c r="U17" s="35"/>
      <c r="V17" s="13">
        <v>1400</v>
      </c>
      <c r="W17" s="22">
        <f>(V17*0.8)-L17</f>
        <v>922.88</v>
      </c>
      <c r="X17" s="22">
        <v>197.12</v>
      </c>
      <c r="Y17" s="12" t="s">
        <v>78</v>
      </c>
      <c r="Z17" s="11" t="s">
        <v>23</v>
      </c>
    </row>
    <row r="18" spans="1:26" x14ac:dyDescent="0.2">
      <c r="A18" s="52" t="s">
        <v>54</v>
      </c>
      <c r="B18" s="53">
        <v>12.75</v>
      </c>
      <c r="C18" s="53">
        <f t="shared" si="0"/>
        <v>1933.7924999999998</v>
      </c>
      <c r="D18" s="54">
        <v>36283.083333333336</v>
      </c>
      <c r="E18" s="53">
        <v>35</v>
      </c>
      <c r="F18" s="53">
        <v>151.66999999999999</v>
      </c>
      <c r="G18" s="53">
        <f t="shared" si="1"/>
        <v>1820.04</v>
      </c>
      <c r="H18" s="24"/>
      <c r="I18" s="24"/>
      <c r="J18" s="24">
        <v>22</v>
      </c>
      <c r="K18" s="23"/>
      <c r="L18" s="16">
        <v>368</v>
      </c>
      <c r="M18" s="28" t="str">
        <f t="shared" si="2"/>
        <v>29,05</v>
      </c>
      <c r="N18" s="29"/>
      <c r="O18" s="106">
        <f>C18*0.06</f>
        <v>116.02754999999998</v>
      </c>
      <c r="P18" s="30">
        <v>14.27</v>
      </c>
      <c r="Q18" s="31">
        <f>IF(H18=1,0,P18/F18*(F18-K18))</f>
        <v>14.27</v>
      </c>
      <c r="R18" s="32">
        <f t="shared" si="4"/>
        <v>136.4</v>
      </c>
      <c r="S18" s="32">
        <f t="shared" si="5"/>
        <v>187</v>
      </c>
      <c r="T18" s="32">
        <f>T4*J18</f>
        <v>64.02000000000001</v>
      </c>
      <c r="U18" s="35"/>
      <c r="V18" s="13">
        <v>1400</v>
      </c>
      <c r="W18" s="22">
        <f>(V18*1)-L18</f>
        <v>1032</v>
      </c>
      <c r="X18" s="22">
        <v>368</v>
      </c>
      <c r="Y18" s="12" t="s">
        <v>9</v>
      </c>
      <c r="Z18" s="11" t="s">
        <v>23</v>
      </c>
    </row>
    <row r="19" spans="1:26" x14ac:dyDescent="0.2">
      <c r="A19" s="52" t="s">
        <v>55</v>
      </c>
      <c r="B19" s="53">
        <v>12.41</v>
      </c>
      <c r="C19" s="53">
        <f t="shared" si="0"/>
        <v>1882.2246999999998</v>
      </c>
      <c r="D19" s="54">
        <v>36514.041666666664</v>
      </c>
      <c r="E19" s="53">
        <v>35</v>
      </c>
      <c r="F19" s="53">
        <v>151.66999999999999</v>
      </c>
      <c r="G19" s="53">
        <f t="shared" si="1"/>
        <v>1820.04</v>
      </c>
      <c r="H19" s="24"/>
      <c r="I19" s="24"/>
      <c r="J19" s="24">
        <v>22</v>
      </c>
      <c r="K19" s="23"/>
      <c r="L19" s="16">
        <v>368</v>
      </c>
      <c r="M19" s="28" t="str">
        <f t="shared" si="2"/>
        <v>29,05</v>
      </c>
      <c r="N19" s="29"/>
      <c r="O19" s="106">
        <f>C19*0.06</f>
        <v>112.93348199999998</v>
      </c>
      <c r="P19" s="30">
        <v>14.27</v>
      </c>
      <c r="Q19" s="31">
        <f>IF(H19=1,0,P19/F19*(F19-K19))</f>
        <v>14.27</v>
      </c>
      <c r="R19" s="32">
        <f t="shared" si="4"/>
        <v>136.4</v>
      </c>
      <c r="S19" s="32">
        <f t="shared" si="5"/>
        <v>187</v>
      </c>
      <c r="T19" s="32">
        <f>T4*J19</f>
        <v>64.02000000000001</v>
      </c>
      <c r="U19" s="35"/>
      <c r="V19" s="13">
        <v>1400</v>
      </c>
      <c r="W19" s="22">
        <f>(V19*1)-L19</f>
        <v>1032</v>
      </c>
      <c r="X19" s="22">
        <v>368</v>
      </c>
      <c r="Y19" s="12" t="s">
        <v>9</v>
      </c>
      <c r="Z19" s="11" t="s">
        <v>23</v>
      </c>
    </row>
    <row r="20" spans="1:26" x14ac:dyDescent="0.2">
      <c r="A20" s="52" t="s">
        <v>56</v>
      </c>
      <c r="B20" s="97">
        <v>12.24</v>
      </c>
      <c r="C20" s="97">
        <f t="shared" si="0"/>
        <v>1485.0791999999999</v>
      </c>
      <c r="D20" s="100">
        <v>39601.083333333336</v>
      </c>
      <c r="E20" s="97">
        <v>35</v>
      </c>
      <c r="F20" s="97">
        <v>121.33</v>
      </c>
      <c r="G20" s="53">
        <f t="shared" si="1"/>
        <v>1455.96</v>
      </c>
      <c r="H20" s="24"/>
      <c r="I20" s="24"/>
      <c r="J20" s="24">
        <v>22</v>
      </c>
      <c r="K20" s="23"/>
      <c r="L20" s="16">
        <v>160.4</v>
      </c>
      <c r="M20" s="28" t="str">
        <f t="shared" si="2"/>
        <v>29,05</v>
      </c>
      <c r="N20" s="29"/>
      <c r="O20" s="106">
        <f>C20*0.05</f>
        <v>74.253959999999992</v>
      </c>
      <c r="P20" s="103"/>
      <c r="Q20" s="37"/>
      <c r="R20" s="32">
        <f t="shared" si="4"/>
        <v>136.4</v>
      </c>
      <c r="S20" s="32">
        <f t="shared" si="5"/>
        <v>187</v>
      </c>
      <c r="T20" s="32"/>
      <c r="U20" s="35"/>
      <c r="V20" s="13">
        <v>1120</v>
      </c>
      <c r="W20" s="22">
        <f>(V20*0.81)-L20</f>
        <v>746.80000000000007</v>
      </c>
      <c r="X20" s="22">
        <v>160.4</v>
      </c>
      <c r="Y20" s="12" t="s">
        <v>78</v>
      </c>
      <c r="Z20" s="11" t="s">
        <v>23</v>
      </c>
    </row>
    <row r="21" spans="1:26" x14ac:dyDescent="0.2">
      <c r="A21" s="52" t="s">
        <v>57</v>
      </c>
      <c r="B21" s="53">
        <v>12.97</v>
      </c>
      <c r="C21" s="53">
        <f t="shared" si="0"/>
        <v>1967.1598999999999</v>
      </c>
      <c r="D21" s="54">
        <v>30124.083333333332</v>
      </c>
      <c r="E21" s="53">
        <v>35</v>
      </c>
      <c r="F21" s="53">
        <v>151.66999999999999</v>
      </c>
      <c r="G21" s="53">
        <f t="shared" si="1"/>
        <v>1820.04</v>
      </c>
      <c r="H21" s="24"/>
      <c r="I21" s="24"/>
      <c r="J21" s="24">
        <v>22</v>
      </c>
      <c r="K21" s="23"/>
      <c r="L21" s="16">
        <v>368</v>
      </c>
      <c r="M21" s="28" t="str">
        <f t="shared" si="2"/>
        <v>29,05</v>
      </c>
      <c r="N21" s="29"/>
      <c r="O21" s="106">
        <f>C21*0.06</f>
        <v>118.02959399999999</v>
      </c>
      <c r="P21" s="30">
        <v>46.59</v>
      </c>
      <c r="Q21" s="31">
        <f>IF(H21=1,0,P21/F21*(F21-K21))</f>
        <v>46.59</v>
      </c>
      <c r="R21" s="32">
        <f t="shared" si="4"/>
        <v>136.4</v>
      </c>
      <c r="S21" s="32">
        <f t="shared" si="5"/>
        <v>187</v>
      </c>
      <c r="T21" s="32">
        <f>T4*J21</f>
        <v>64.02000000000001</v>
      </c>
      <c r="U21" s="35"/>
      <c r="V21" s="13">
        <v>1400</v>
      </c>
      <c r="W21" s="22">
        <f>(V21*1)-L21</f>
        <v>1032</v>
      </c>
      <c r="X21" s="22">
        <v>368</v>
      </c>
      <c r="Y21" s="12" t="s">
        <v>9</v>
      </c>
      <c r="Z21" s="11" t="s">
        <v>23</v>
      </c>
    </row>
    <row r="22" spans="1:26" x14ac:dyDescent="0.2">
      <c r="A22" s="52" t="s">
        <v>47</v>
      </c>
      <c r="B22" s="53">
        <v>14.79</v>
      </c>
      <c r="C22" s="53">
        <f t="shared" si="0"/>
        <v>2243.1992999999998</v>
      </c>
      <c r="D22" s="54">
        <v>35478.041666666664</v>
      </c>
      <c r="E22" s="53">
        <v>35</v>
      </c>
      <c r="F22" s="53">
        <v>151.66999999999999</v>
      </c>
      <c r="G22" s="53">
        <f t="shared" si="1"/>
        <v>1820.04</v>
      </c>
      <c r="H22" s="24"/>
      <c r="I22" s="24"/>
      <c r="J22" s="24">
        <v>22</v>
      </c>
      <c r="K22" s="23"/>
      <c r="L22" s="16">
        <v>368</v>
      </c>
      <c r="M22" s="28" t="str">
        <f t="shared" si="2"/>
        <v>29,05</v>
      </c>
      <c r="N22" s="29"/>
      <c r="O22" s="106">
        <f>C22*0.06</f>
        <v>134.59195799999998</v>
      </c>
      <c r="P22" s="30">
        <v>46.59</v>
      </c>
      <c r="Q22" s="31">
        <f>IF(H22=1,0,P22/F22*(F22-K22))</f>
        <v>46.59</v>
      </c>
      <c r="R22" s="32">
        <f t="shared" si="4"/>
        <v>136.4</v>
      </c>
      <c r="S22" s="32">
        <f t="shared" si="5"/>
        <v>187</v>
      </c>
      <c r="T22" s="32">
        <f>T4*J22</f>
        <v>64.02000000000001</v>
      </c>
      <c r="U22" s="35"/>
      <c r="V22" s="13">
        <v>1400</v>
      </c>
      <c r="W22" s="22">
        <f>(V22*1)-L22</f>
        <v>1032</v>
      </c>
      <c r="X22" s="22">
        <v>368</v>
      </c>
      <c r="Y22" s="12" t="s">
        <v>9</v>
      </c>
      <c r="Z22" s="11" t="s">
        <v>23</v>
      </c>
    </row>
    <row r="23" spans="1:26" x14ac:dyDescent="0.2">
      <c r="A23" s="52" t="s">
        <v>56</v>
      </c>
      <c r="B23" s="53">
        <v>12.24</v>
      </c>
      <c r="C23" s="53">
        <f t="shared" si="0"/>
        <v>1856.4407999999999</v>
      </c>
      <c r="D23" s="54">
        <v>36635.083333333336</v>
      </c>
      <c r="E23" s="53">
        <v>35</v>
      </c>
      <c r="F23" s="53">
        <v>151.66999999999999</v>
      </c>
      <c r="G23" s="53">
        <f t="shared" si="1"/>
        <v>1820.04</v>
      </c>
      <c r="H23" s="24"/>
      <c r="I23" s="24"/>
      <c r="J23" s="24">
        <v>22</v>
      </c>
      <c r="K23" s="23"/>
      <c r="L23" s="16">
        <v>224</v>
      </c>
      <c r="M23" s="28" t="str">
        <f t="shared" si="2"/>
        <v>29,05</v>
      </c>
      <c r="N23" s="29"/>
      <c r="O23" s="106">
        <f>C23*0.06</f>
        <v>111.38644799999999</v>
      </c>
      <c r="P23" s="30">
        <v>109.24</v>
      </c>
      <c r="Q23" s="31">
        <f>IF(H23=1,0,P23/F23*(F23-K23))</f>
        <v>109.24</v>
      </c>
      <c r="R23" s="32">
        <f t="shared" si="4"/>
        <v>136.4</v>
      </c>
      <c r="S23" s="32">
        <f t="shared" si="5"/>
        <v>187</v>
      </c>
      <c r="T23" s="32">
        <f>T4*J23</f>
        <v>64.02000000000001</v>
      </c>
      <c r="U23" s="35"/>
      <c r="V23" s="13"/>
      <c r="W23" s="22">
        <f t="shared" si="6"/>
        <v>-224</v>
      </c>
      <c r="X23" s="22">
        <v>224</v>
      </c>
      <c r="Y23" s="12" t="s">
        <v>78</v>
      </c>
      <c r="Z23" s="11" t="s">
        <v>23</v>
      </c>
    </row>
    <row r="24" spans="1:26" x14ac:dyDescent="0.2">
      <c r="A24" s="52" t="s">
        <v>47</v>
      </c>
      <c r="B24" s="53">
        <v>14.79</v>
      </c>
      <c r="C24" s="53">
        <f t="shared" si="0"/>
        <v>2243.1992999999998</v>
      </c>
      <c r="D24" s="54">
        <v>34647.041666666664</v>
      </c>
      <c r="E24" s="53">
        <v>35</v>
      </c>
      <c r="F24" s="53">
        <v>151.66999999999999</v>
      </c>
      <c r="G24" s="53">
        <f t="shared" si="1"/>
        <v>1820.04</v>
      </c>
      <c r="H24" s="24"/>
      <c r="I24" s="24"/>
      <c r="J24" s="24">
        <v>22</v>
      </c>
      <c r="K24" s="23"/>
      <c r="L24" s="16">
        <v>368</v>
      </c>
      <c r="M24" s="28" t="str">
        <f t="shared" si="2"/>
        <v>29,05</v>
      </c>
      <c r="N24" s="29"/>
      <c r="O24" s="106">
        <f>C24*0.06</f>
        <v>134.59195799999998</v>
      </c>
      <c r="P24" s="30">
        <v>456.59</v>
      </c>
      <c r="Q24" s="31">
        <f>IF(H24=1,0,P24/F24*(F24-K24))</f>
        <v>456.59</v>
      </c>
      <c r="R24" s="32">
        <f t="shared" si="4"/>
        <v>136.4</v>
      </c>
      <c r="S24" s="32">
        <f t="shared" si="5"/>
        <v>187</v>
      </c>
      <c r="T24" s="32">
        <f>T4*J24</f>
        <v>64.02000000000001</v>
      </c>
      <c r="U24" s="35"/>
      <c r="V24" s="13">
        <v>1400</v>
      </c>
      <c r="W24" s="22">
        <f>(V24*1)-L24</f>
        <v>1032</v>
      </c>
      <c r="X24" s="22">
        <v>368</v>
      </c>
      <c r="Y24" s="12" t="s">
        <v>9</v>
      </c>
      <c r="Z24" s="11" t="s">
        <v>23</v>
      </c>
    </row>
    <row r="25" spans="1:26" x14ac:dyDescent="0.2">
      <c r="A25" s="52" t="s">
        <v>58</v>
      </c>
      <c r="B25" s="53">
        <v>14.79</v>
      </c>
      <c r="C25" s="53">
        <f t="shared" si="0"/>
        <v>2243.1992999999998</v>
      </c>
      <c r="D25" s="54">
        <v>33423.083333333336</v>
      </c>
      <c r="E25" s="53">
        <v>35</v>
      </c>
      <c r="F25" s="53">
        <v>151.66999999999999</v>
      </c>
      <c r="G25" s="53">
        <f t="shared" si="1"/>
        <v>1820.04</v>
      </c>
      <c r="H25" s="24"/>
      <c r="I25" s="24"/>
      <c r="J25" s="24">
        <v>22</v>
      </c>
      <c r="K25" s="23"/>
      <c r="L25" s="16">
        <v>368</v>
      </c>
      <c r="M25" s="28" t="str">
        <f t="shared" si="2"/>
        <v>29,05</v>
      </c>
      <c r="N25" s="38">
        <f>IF(H25=1,0,89)</f>
        <v>89</v>
      </c>
      <c r="O25" s="106">
        <f>C25*0.06</f>
        <v>134.59195799999998</v>
      </c>
      <c r="P25" s="30">
        <v>456.59</v>
      </c>
      <c r="Q25" s="31">
        <f>IF(H25=1,0,P25/F25*(F25-K25))</f>
        <v>456.59</v>
      </c>
      <c r="R25" s="32">
        <f t="shared" si="4"/>
        <v>136.4</v>
      </c>
      <c r="S25" s="32">
        <f t="shared" si="5"/>
        <v>187</v>
      </c>
      <c r="T25" s="32">
        <f>T4*J25</f>
        <v>64.02000000000001</v>
      </c>
      <c r="U25" s="35"/>
      <c r="V25" s="13">
        <v>1400</v>
      </c>
      <c r="W25" s="22">
        <f>(V25*1)-L25</f>
        <v>1032</v>
      </c>
      <c r="X25" s="22">
        <v>368</v>
      </c>
      <c r="Y25" s="12" t="s">
        <v>9</v>
      </c>
      <c r="Z25" s="11" t="s">
        <v>23</v>
      </c>
    </row>
    <row r="26" spans="1:26" x14ac:dyDescent="0.2">
      <c r="A26" s="52" t="s">
        <v>59</v>
      </c>
      <c r="B26" s="53">
        <v>12.39</v>
      </c>
      <c r="C26" s="53">
        <f t="shared" si="0"/>
        <v>1879.1913</v>
      </c>
      <c r="D26" s="54">
        <v>44529</v>
      </c>
      <c r="E26" s="53">
        <v>35</v>
      </c>
      <c r="F26" s="53">
        <v>151.66999999999999</v>
      </c>
      <c r="G26" s="53">
        <f t="shared" si="1"/>
        <v>1820.04</v>
      </c>
      <c r="H26" s="24"/>
      <c r="I26" s="24"/>
      <c r="J26" s="24">
        <v>22</v>
      </c>
      <c r="K26" s="23"/>
      <c r="L26" s="111"/>
      <c r="M26" s="28" t="str">
        <f t="shared" si="2"/>
        <v>29,05</v>
      </c>
      <c r="N26" s="29"/>
      <c r="O26" s="108"/>
      <c r="P26" s="103"/>
      <c r="Q26" s="37"/>
      <c r="R26" s="32">
        <f t="shared" si="4"/>
        <v>136.4</v>
      </c>
      <c r="S26" s="32">
        <f t="shared" si="5"/>
        <v>187</v>
      </c>
      <c r="T26" s="32">
        <f>T4*J26</f>
        <v>64.02000000000001</v>
      </c>
      <c r="U26" s="35"/>
      <c r="V26" s="13">
        <v>1400</v>
      </c>
      <c r="W26" s="22">
        <f t="shared" si="6"/>
        <v>1106</v>
      </c>
      <c r="X26" s="22">
        <v>246.39</v>
      </c>
      <c r="Y26" s="12" t="s">
        <v>9</v>
      </c>
      <c r="Z26" s="11" t="s">
        <v>23</v>
      </c>
    </row>
    <row r="27" spans="1:26" x14ac:dyDescent="0.2">
      <c r="A27" s="52" t="s">
        <v>60</v>
      </c>
      <c r="B27" s="53">
        <v>12.64</v>
      </c>
      <c r="C27" s="53">
        <f t="shared" si="0"/>
        <v>1917.1088</v>
      </c>
      <c r="D27" s="54">
        <v>35373.041666666664</v>
      </c>
      <c r="E27" s="53">
        <v>35</v>
      </c>
      <c r="F27" s="53">
        <v>151.66999999999999</v>
      </c>
      <c r="G27" s="53">
        <f t="shared" si="1"/>
        <v>1820.04</v>
      </c>
      <c r="H27" s="24"/>
      <c r="I27" s="24"/>
      <c r="J27" s="24">
        <v>22</v>
      </c>
      <c r="K27" s="23"/>
      <c r="L27" s="16">
        <v>368</v>
      </c>
      <c r="M27" s="28" t="str">
        <f t="shared" si="2"/>
        <v>29,05</v>
      </c>
      <c r="N27" s="29"/>
      <c r="O27" s="106">
        <f>C27*0.06</f>
        <v>115.026528</v>
      </c>
      <c r="P27" s="30">
        <v>14.27</v>
      </c>
      <c r="Q27" s="31">
        <f>IF(H27=1,0,P27/F27*(F27-K27))</f>
        <v>14.27</v>
      </c>
      <c r="R27" s="32">
        <f t="shared" si="4"/>
        <v>136.4</v>
      </c>
      <c r="S27" s="32">
        <f t="shared" si="5"/>
        <v>187</v>
      </c>
      <c r="T27" s="32">
        <f>T4*J27</f>
        <v>64.02000000000001</v>
      </c>
      <c r="U27" s="35"/>
      <c r="V27" s="13">
        <v>1400</v>
      </c>
      <c r="W27" s="22">
        <f>(V27*1)-L27</f>
        <v>1032</v>
      </c>
      <c r="X27" s="22">
        <v>368</v>
      </c>
      <c r="Y27" s="12" t="s">
        <v>9</v>
      </c>
      <c r="Z27" s="11" t="s">
        <v>23</v>
      </c>
    </row>
    <row r="28" spans="1:26" x14ac:dyDescent="0.2">
      <c r="A28" s="52" t="s">
        <v>49</v>
      </c>
      <c r="B28" s="53">
        <v>12.17</v>
      </c>
      <c r="C28" s="53">
        <f t="shared" si="0"/>
        <v>1845.8238999999999</v>
      </c>
      <c r="D28" s="54">
        <v>42009.041666666664</v>
      </c>
      <c r="E28" s="53">
        <v>35</v>
      </c>
      <c r="F28" s="53">
        <v>151.66999999999999</v>
      </c>
      <c r="G28" s="53">
        <f t="shared" si="1"/>
        <v>1820.04</v>
      </c>
      <c r="H28" s="24"/>
      <c r="I28" s="24"/>
      <c r="J28" s="24">
        <v>22</v>
      </c>
      <c r="K28" s="23"/>
      <c r="L28" s="111"/>
      <c r="M28" s="28" t="str">
        <f t="shared" si="2"/>
        <v>29,05</v>
      </c>
      <c r="N28" s="29"/>
      <c r="O28" s="106">
        <f>C28*0.04</f>
        <v>73.832955999999996</v>
      </c>
      <c r="P28" s="30">
        <v>109.23</v>
      </c>
      <c r="Q28" s="31">
        <f>IF(H28=1,0,P28/F28*(F28-K28))</f>
        <v>109.23</v>
      </c>
      <c r="R28" s="32">
        <f t="shared" si="4"/>
        <v>136.4</v>
      </c>
      <c r="S28" s="32">
        <f t="shared" si="5"/>
        <v>187</v>
      </c>
      <c r="T28" s="32"/>
      <c r="U28" s="35"/>
      <c r="V28" s="13"/>
      <c r="W28" s="22">
        <f t="shared" si="6"/>
        <v>0</v>
      </c>
      <c r="X28" s="22">
        <v>246.39</v>
      </c>
      <c r="Y28" s="12" t="s">
        <v>78</v>
      </c>
      <c r="Z28" s="11" t="s">
        <v>23</v>
      </c>
    </row>
    <row r="29" spans="1:26" x14ac:dyDescent="0.2">
      <c r="A29" s="98" t="s">
        <v>61</v>
      </c>
      <c r="B29" s="97">
        <v>12.3</v>
      </c>
      <c r="C29" s="97">
        <f>B29*F29</f>
        <v>932.70900000000006</v>
      </c>
      <c r="D29" s="100">
        <v>30370.041666666668</v>
      </c>
      <c r="E29" s="97">
        <v>17.5</v>
      </c>
      <c r="F29" s="97">
        <v>75.83</v>
      </c>
      <c r="G29" s="53">
        <f>F29*12</f>
        <v>909.96</v>
      </c>
      <c r="H29" s="24"/>
      <c r="I29" s="24"/>
      <c r="J29" s="24">
        <v>22</v>
      </c>
      <c r="K29" s="23"/>
      <c r="L29" s="16">
        <v>224</v>
      </c>
      <c r="M29" s="28">
        <f t="shared" si="2"/>
        <v>14.524042328740029</v>
      </c>
      <c r="N29" s="29"/>
      <c r="O29" s="106">
        <f>C29*0.06</f>
        <v>55.962540000000004</v>
      </c>
      <c r="P29" s="30">
        <v>166.46</v>
      </c>
      <c r="Q29" s="34">
        <f>IF(H29=1,0,P29/F29*(F29-K29))</f>
        <v>166.46</v>
      </c>
      <c r="R29" s="32">
        <f t="shared" si="4"/>
        <v>136.4</v>
      </c>
      <c r="S29" s="32">
        <f t="shared" si="5"/>
        <v>187</v>
      </c>
      <c r="T29" s="32"/>
      <c r="U29" s="35"/>
      <c r="V29" s="13"/>
      <c r="W29" s="22">
        <f t="shared" si="6"/>
        <v>-224</v>
      </c>
      <c r="X29" s="22">
        <v>224</v>
      </c>
      <c r="Y29" s="12" t="s">
        <v>9</v>
      </c>
      <c r="Z29" s="11" t="s">
        <v>23</v>
      </c>
    </row>
    <row r="30" spans="1:26" x14ac:dyDescent="0.2">
      <c r="A30" s="52" t="s">
        <v>62</v>
      </c>
      <c r="B30" s="53">
        <v>12.51</v>
      </c>
      <c r="C30" s="53">
        <f t="shared" si="0"/>
        <v>1897.3916999999999</v>
      </c>
      <c r="D30" s="54">
        <v>43472.041666666664</v>
      </c>
      <c r="E30" s="53">
        <v>35</v>
      </c>
      <c r="F30" s="53">
        <v>151.66999999999999</v>
      </c>
      <c r="G30" s="53">
        <f t="shared" si="1"/>
        <v>1820.04</v>
      </c>
      <c r="H30" s="24"/>
      <c r="I30" s="24"/>
      <c r="J30" s="24">
        <v>22</v>
      </c>
      <c r="K30" s="23"/>
      <c r="L30" s="111"/>
      <c r="M30" s="28" t="str">
        <f t="shared" si="2"/>
        <v>29,05</v>
      </c>
      <c r="N30" s="29"/>
      <c r="O30" s="106">
        <f>C30*0.02</f>
        <v>37.947834</v>
      </c>
      <c r="P30" s="103"/>
      <c r="Q30" s="37"/>
      <c r="R30" s="32">
        <f t="shared" si="4"/>
        <v>136.4</v>
      </c>
      <c r="S30" s="32">
        <f t="shared" si="5"/>
        <v>187</v>
      </c>
      <c r="T30" s="32">
        <f>T4*J30</f>
        <v>64.02000000000001</v>
      </c>
      <c r="U30" s="35"/>
      <c r="V30" s="13"/>
      <c r="W30" s="22">
        <f t="shared" si="6"/>
        <v>0</v>
      </c>
      <c r="X30" s="22">
        <v>246.39</v>
      </c>
      <c r="Y30" s="12" t="s">
        <v>78</v>
      </c>
      <c r="Z30" s="11" t="s">
        <v>23</v>
      </c>
    </row>
    <row r="31" spans="1:26" x14ac:dyDescent="0.2">
      <c r="A31" s="52" t="s">
        <v>49</v>
      </c>
      <c r="B31" s="53">
        <v>12.17</v>
      </c>
      <c r="C31" s="53">
        <f t="shared" si="0"/>
        <v>1845.8238999999999</v>
      </c>
      <c r="D31" s="54">
        <v>44200</v>
      </c>
      <c r="E31" s="53">
        <v>35</v>
      </c>
      <c r="F31" s="53">
        <v>151.66999999999999</v>
      </c>
      <c r="G31" s="53">
        <f t="shared" si="1"/>
        <v>1820.04</v>
      </c>
      <c r="H31" s="24"/>
      <c r="I31" s="24"/>
      <c r="J31" s="24">
        <v>22</v>
      </c>
      <c r="K31" s="23"/>
      <c r="L31" s="111"/>
      <c r="M31" s="28" t="str">
        <f t="shared" si="2"/>
        <v>29,05</v>
      </c>
      <c r="N31" s="29"/>
      <c r="O31" s="108"/>
      <c r="P31" s="103"/>
      <c r="Q31" s="37"/>
      <c r="R31" s="32">
        <f t="shared" si="4"/>
        <v>136.4</v>
      </c>
      <c r="S31" s="32">
        <f t="shared" si="5"/>
        <v>187</v>
      </c>
      <c r="T31" s="32"/>
      <c r="U31" s="35"/>
      <c r="V31" s="13"/>
      <c r="W31" s="22">
        <f t="shared" si="6"/>
        <v>0</v>
      </c>
      <c r="X31" s="22">
        <v>195.76</v>
      </c>
      <c r="Y31" s="12" t="s">
        <v>78</v>
      </c>
      <c r="Z31" s="11" t="s">
        <v>23</v>
      </c>
    </row>
    <row r="32" spans="1:26" x14ac:dyDescent="0.2">
      <c r="A32" s="52" t="s">
        <v>45</v>
      </c>
      <c r="B32" s="53">
        <v>14.96</v>
      </c>
      <c r="C32" s="53">
        <f t="shared" si="0"/>
        <v>2268.9832000000001</v>
      </c>
      <c r="D32" s="54">
        <v>36557.041666666664</v>
      </c>
      <c r="E32" s="53">
        <v>35</v>
      </c>
      <c r="F32" s="53">
        <v>151.66999999999999</v>
      </c>
      <c r="G32" s="53">
        <f t="shared" si="1"/>
        <v>1820.04</v>
      </c>
      <c r="H32" s="24"/>
      <c r="I32" s="24"/>
      <c r="J32" s="24">
        <v>22</v>
      </c>
      <c r="K32" s="23"/>
      <c r="L32" s="16">
        <v>224</v>
      </c>
      <c r="M32" s="28" t="str">
        <f t="shared" si="2"/>
        <v>29,05</v>
      </c>
      <c r="N32" s="29"/>
      <c r="O32" s="106">
        <f t="shared" ref="O32:O38" si="7">C32*0.06</f>
        <v>136.138992</v>
      </c>
      <c r="P32" s="30">
        <v>109.24</v>
      </c>
      <c r="Q32" s="31">
        <f t="shared" ref="Q32:Q40" si="8">IF(H32=1,0,P32/F32*(F32-K32))</f>
        <v>109.24</v>
      </c>
      <c r="R32" s="32">
        <f t="shared" si="4"/>
        <v>136.4</v>
      </c>
      <c r="S32" s="32">
        <f t="shared" si="5"/>
        <v>187</v>
      </c>
      <c r="T32" s="32">
        <f>T4*J32</f>
        <v>64.02000000000001</v>
      </c>
      <c r="U32" s="35"/>
      <c r="V32" s="13"/>
      <c r="W32" s="22">
        <f t="shared" si="6"/>
        <v>-224</v>
      </c>
      <c r="X32" s="22">
        <v>224</v>
      </c>
      <c r="Y32" s="12" t="s">
        <v>78</v>
      </c>
      <c r="Z32" s="11" t="s">
        <v>23</v>
      </c>
    </row>
    <row r="33" spans="1:26" x14ac:dyDescent="0.2">
      <c r="A33" s="52" t="s">
        <v>60</v>
      </c>
      <c r="B33" s="53">
        <v>12.64</v>
      </c>
      <c r="C33" s="53">
        <f t="shared" si="0"/>
        <v>1917.1088</v>
      </c>
      <c r="D33" s="54">
        <v>36320.083333333336</v>
      </c>
      <c r="E33" s="53">
        <v>35</v>
      </c>
      <c r="F33" s="53">
        <v>151.66999999999999</v>
      </c>
      <c r="G33" s="53">
        <f t="shared" si="1"/>
        <v>1820.04</v>
      </c>
      <c r="H33" s="24"/>
      <c r="I33" s="24"/>
      <c r="J33" s="24">
        <v>22</v>
      </c>
      <c r="K33" s="23"/>
      <c r="L33" s="16">
        <v>368</v>
      </c>
      <c r="M33" s="28" t="str">
        <f t="shared" si="2"/>
        <v>29,05</v>
      </c>
      <c r="N33" s="29"/>
      <c r="O33" s="106">
        <f t="shared" si="7"/>
        <v>115.026528</v>
      </c>
      <c r="P33" s="30">
        <v>14.27</v>
      </c>
      <c r="Q33" s="31">
        <f t="shared" si="8"/>
        <v>14.27</v>
      </c>
      <c r="R33" s="32">
        <f t="shared" si="4"/>
        <v>136.4</v>
      </c>
      <c r="S33" s="32">
        <f t="shared" si="5"/>
        <v>187</v>
      </c>
      <c r="T33" s="32">
        <f>T4*J33</f>
        <v>64.02000000000001</v>
      </c>
      <c r="U33" s="35"/>
      <c r="V33" s="13">
        <v>1400</v>
      </c>
      <c r="W33" s="22">
        <f>(V33*1)-L33</f>
        <v>1032</v>
      </c>
      <c r="X33" s="22">
        <v>368</v>
      </c>
      <c r="Y33" s="12" t="s">
        <v>9</v>
      </c>
      <c r="Z33" s="11" t="s">
        <v>23</v>
      </c>
    </row>
    <row r="34" spans="1:26" x14ac:dyDescent="0.2">
      <c r="A34" s="52" t="s">
        <v>60</v>
      </c>
      <c r="B34" s="53">
        <v>12.64</v>
      </c>
      <c r="C34" s="53">
        <f t="shared" si="0"/>
        <v>1917.1088</v>
      </c>
      <c r="D34" s="54">
        <v>35324.083333333336</v>
      </c>
      <c r="E34" s="53">
        <v>35</v>
      </c>
      <c r="F34" s="53">
        <v>151.66999999999999</v>
      </c>
      <c r="G34" s="53">
        <f t="shared" si="1"/>
        <v>1820.04</v>
      </c>
      <c r="H34" s="24"/>
      <c r="I34" s="24"/>
      <c r="J34" s="24">
        <v>22</v>
      </c>
      <c r="K34" s="23"/>
      <c r="L34" s="16">
        <v>368</v>
      </c>
      <c r="M34" s="28" t="str">
        <f t="shared" si="2"/>
        <v>29,05</v>
      </c>
      <c r="N34" s="29"/>
      <c r="O34" s="106">
        <f t="shared" si="7"/>
        <v>115.026528</v>
      </c>
      <c r="P34" s="30">
        <v>46.59</v>
      </c>
      <c r="Q34" s="31">
        <f t="shared" si="8"/>
        <v>46.59</v>
      </c>
      <c r="R34" s="32">
        <f t="shared" si="4"/>
        <v>136.4</v>
      </c>
      <c r="S34" s="32">
        <f t="shared" si="5"/>
        <v>187</v>
      </c>
      <c r="T34" s="32">
        <f>T4*J34</f>
        <v>64.02000000000001</v>
      </c>
      <c r="U34" s="35"/>
      <c r="V34" s="13">
        <v>1400</v>
      </c>
      <c r="W34" s="22">
        <f>(V34*1)-L34</f>
        <v>1032</v>
      </c>
      <c r="X34" s="22">
        <v>368</v>
      </c>
      <c r="Y34" s="12" t="s">
        <v>9</v>
      </c>
      <c r="Z34" s="11" t="s">
        <v>23</v>
      </c>
    </row>
    <row r="35" spans="1:26" x14ac:dyDescent="0.2">
      <c r="A35" s="52" t="s">
        <v>45</v>
      </c>
      <c r="B35" s="53">
        <v>14.96</v>
      </c>
      <c r="C35" s="53">
        <f t="shared" ref="C35" si="9">B35*F35</f>
        <v>2268.9832000000001</v>
      </c>
      <c r="D35" s="54">
        <v>34834</v>
      </c>
      <c r="E35" s="53">
        <v>35</v>
      </c>
      <c r="F35" s="53">
        <v>151.66999999999999</v>
      </c>
      <c r="G35" s="53">
        <f t="shared" si="1"/>
        <v>1820.04</v>
      </c>
      <c r="H35" s="24"/>
      <c r="I35" s="24"/>
      <c r="J35" s="24">
        <v>22</v>
      </c>
      <c r="K35" s="23"/>
      <c r="L35" s="111">
        <v>1693.39</v>
      </c>
      <c r="M35" s="28" t="str">
        <f t="shared" si="2"/>
        <v>29,05</v>
      </c>
      <c r="N35" s="29"/>
      <c r="O35" s="106">
        <f t="shared" si="7"/>
        <v>136.138992</v>
      </c>
      <c r="P35" s="30">
        <v>243.16</v>
      </c>
      <c r="Q35" s="31">
        <f t="shared" si="8"/>
        <v>243.16</v>
      </c>
      <c r="R35" s="32"/>
      <c r="S35" s="32"/>
      <c r="T35" s="32"/>
      <c r="U35" s="35"/>
      <c r="V35" s="13"/>
      <c r="W35" s="22">
        <f t="shared" si="6"/>
        <v>-1693.39</v>
      </c>
      <c r="X35" s="22"/>
      <c r="Y35" s="12" t="s">
        <v>78</v>
      </c>
      <c r="Z35" s="11" t="s">
        <v>23</v>
      </c>
    </row>
    <row r="36" spans="1:26" x14ac:dyDescent="0.2">
      <c r="A36" s="52" t="s">
        <v>63</v>
      </c>
      <c r="B36" s="53">
        <v>13.48</v>
      </c>
      <c r="C36" s="53">
        <f t="shared" si="0"/>
        <v>2044.5115999999998</v>
      </c>
      <c r="D36" s="54">
        <v>31959.083333333332</v>
      </c>
      <c r="E36" s="53">
        <v>35</v>
      </c>
      <c r="F36" s="53">
        <v>151.66999999999999</v>
      </c>
      <c r="G36" s="53">
        <f t="shared" si="1"/>
        <v>1820.04</v>
      </c>
      <c r="H36" s="24"/>
      <c r="I36" s="24"/>
      <c r="J36" s="24">
        <v>22</v>
      </c>
      <c r="K36" s="23"/>
      <c r="L36" s="16">
        <v>224</v>
      </c>
      <c r="M36" s="28" t="str">
        <f t="shared" si="2"/>
        <v>29,05</v>
      </c>
      <c r="N36" s="29"/>
      <c r="O36" s="106">
        <f t="shared" si="7"/>
        <v>122.67069599999998</v>
      </c>
      <c r="P36" s="30">
        <v>339.33</v>
      </c>
      <c r="Q36" s="31">
        <f t="shared" si="8"/>
        <v>339.33</v>
      </c>
      <c r="R36" s="32">
        <f t="shared" ref="R36:R51" si="10">IF(H36=1,0,$R$4*J36)</f>
        <v>136.4</v>
      </c>
      <c r="S36" s="32">
        <f t="shared" ref="S36:S51" si="11">IF(H36=1,0,$S$4*J36)</f>
        <v>187</v>
      </c>
      <c r="T36" s="32"/>
      <c r="U36" s="35"/>
      <c r="V36" s="13"/>
      <c r="W36" s="22">
        <f t="shared" si="6"/>
        <v>-224</v>
      </c>
      <c r="X36" s="22">
        <v>224</v>
      </c>
      <c r="Y36" s="12" t="s">
        <v>9</v>
      </c>
      <c r="Z36" s="11" t="s">
        <v>23</v>
      </c>
    </row>
    <row r="37" spans="1:26" x14ac:dyDescent="0.2">
      <c r="A37" s="52" t="s">
        <v>55</v>
      </c>
      <c r="B37" s="53">
        <v>12.41</v>
      </c>
      <c r="C37" s="53">
        <f t="shared" si="0"/>
        <v>1882.2246999999998</v>
      </c>
      <c r="D37" s="54">
        <v>36831.041666666664</v>
      </c>
      <c r="E37" s="53">
        <v>35</v>
      </c>
      <c r="F37" s="53">
        <v>151.66999999999999</v>
      </c>
      <c r="G37" s="53">
        <f t="shared" si="1"/>
        <v>1820.04</v>
      </c>
      <c r="H37" s="24"/>
      <c r="I37" s="24"/>
      <c r="J37" s="24">
        <v>22</v>
      </c>
      <c r="K37" s="23"/>
      <c r="L37" s="16">
        <v>224</v>
      </c>
      <c r="M37" s="28" t="str">
        <f t="shared" ref="M37:M58" si="12">IF(H37=1,0,IF((F37-K37)&lt;104,$M$4/151.67*(F37-K37),$M$4))</f>
        <v>29,05</v>
      </c>
      <c r="N37" s="29"/>
      <c r="O37" s="106">
        <f t="shared" si="7"/>
        <v>112.93348199999998</v>
      </c>
      <c r="P37" s="30">
        <v>163.07</v>
      </c>
      <c r="Q37" s="31">
        <f t="shared" si="8"/>
        <v>163.07</v>
      </c>
      <c r="R37" s="32">
        <f t="shared" si="10"/>
        <v>136.4</v>
      </c>
      <c r="S37" s="32">
        <f t="shared" si="11"/>
        <v>187</v>
      </c>
      <c r="T37" s="32"/>
      <c r="U37" s="36"/>
      <c r="V37" s="13"/>
      <c r="W37" s="22">
        <f t="shared" si="6"/>
        <v>-224</v>
      </c>
      <c r="X37" s="22">
        <v>224</v>
      </c>
      <c r="Y37" s="12" t="s">
        <v>78</v>
      </c>
      <c r="Z37" s="11" t="s">
        <v>23</v>
      </c>
    </row>
    <row r="38" spans="1:26" x14ac:dyDescent="0.2">
      <c r="A38" s="52" t="s">
        <v>60</v>
      </c>
      <c r="B38" s="53">
        <v>12.64</v>
      </c>
      <c r="C38" s="53">
        <f t="shared" si="0"/>
        <v>1917.1088</v>
      </c>
      <c r="D38" s="54">
        <v>34123.083333333336</v>
      </c>
      <c r="E38" s="53">
        <v>35</v>
      </c>
      <c r="F38" s="53">
        <v>151.66999999999999</v>
      </c>
      <c r="G38" s="53">
        <f t="shared" si="1"/>
        <v>1820.04</v>
      </c>
      <c r="H38" s="24"/>
      <c r="I38" s="24"/>
      <c r="J38" s="24">
        <v>22</v>
      </c>
      <c r="K38" s="23"/>
      <c r="L38" s="16">
        <v>368</v>
      </c>
      <c r="M38" s="28" t="str">
        <f t="shared" si="12"/>
        <v>29,05</v>
      </c>
      <c r="N38" s="29"/>
      <c r="O38" s="106">
        <f t="shared" si="7"/>
        <v>115.026528</v>
      </c>
      <c r="P38" s="30">
        <v>91.61</v>
      </c>
      <c r="Q38" s="34">
        <f t="shared" si="8"/>
        <v>91.61</v>
      </c>
      <c r="R38" s="32">
        <f t="shared" si="10"/>
        <v>136.4</v>
      </c>
      <c r="S38" s="32">
        <f t="shared" si="11"/>
        <v>187</v>
      </c>
      <c r="T38" s="32">
        <f>T4*J38</f>
        <v>64.02000000000001</v>
      </c>
      <c r="U38" s="35"/>
      <c r="V38" s="13">
        <v>1400</v>
      </c>
      <c r="W38" s="22">
        <f>(V38*1)-L38</f>
        <v>1032</v>
      </c>
      <c r="X38" s="22">
        <v>368</v>
      </c>
      <c r="Y38" s="12" t="s">
        <v>9</v>
      </c>
      <c r="Z38" s="11" t="s">
        <v>23</v>
      </c>
    </row>
    <row r="39" spans="1:26" x14ac:dyDescent="0.2">
      <c r="A39" s="52" t="s">
        <v>45</v>
      </c>
      <c r="B39" s="53">
        <v>14.96</v>
      </c>
      <c r="C39" s="53">
        <f t="shared" si="0"/>
        <v>2268.9832000000001</v>
      </c>
      <c r="D39" s="54">
        <v>42010.041666666664</v>
      </c>
      <c r="E39" s="53">
        <v>35</v>
      </c>
      <c r="F39" s="53">
        <v>151.66999999999999</v>
      </c>
      <c r="G39" s="53">
        <f t="shared" si="1"/>
        <v>1820.04</v>
      </c>
      <c r="H39" s="24"/>
      <c r="I39" s="24"/>
      <c r="J39" s="24">
        <v>22</v>
      </c>
      <c r="K39" s="23"/>
      <c r="L39" s="111"/>
      <c r="M39" s="28" t="str">
        <f t="shared" si="12"/>
        <v>29,05</v>
      </c>
      <c r="N39" s="29"/>
      <c r="O39" s="106">
        <f>C39*0.04</f>
        <v>90.759328000000011</v>
      </c>
      <c r="P39" s="30">
        <v>109.23</v>
      </c>
      <c r="Q39" s="31">
        <f t="shared" si="8"/>
        <v>109.23</v>
      </c>
      <c r="R39" s="32">
        <f t="shared" si="10"/>
        <v>136.4</v>
      </c>
      <c r="S39" s="32">
        <f t="shared" si="11"/>
        <v>187</v>
      </c>
      <c r="T39" s="32">
        <f>T4*J39</f>
        <v>64.02000000000001</v>
      </c>
      <c r="U39" s="35"/>
      <c r="V39" s="13"/>
      <c r="W39" s="22">
        <f t="shared" si="6"/>
        <v>0</v>
      </c>
      <c r="X39" s="22">
        <v>246.39</v>
      </c>
      <c r="Y39" s="12" t="s">
        <v>78</v>
      </c>
      <c r="Z39" s="11" t="s">
        <v>23</v>
      </c>
    </row>
    <row r="40" spans="1:26" x14ac:dyDescent="0.2">
      <c r="A40" s="52" t="s">
        <v>62</v>
      </c>
      <c r="B40" s="53">
        <v>12.51</v>
      </c>
      <c r="C40" s="53">
        <f t="shared" si="0"/>
        <v>1897.3916999999999</v>
      </c>
      <c r="D40" s="54">
        <v>36894.041666666664</v>
      </c>
      <c r="E40" s="53">
        <v>35</v>
      </c>
      <c r="F40" s="53">
        <v>151.66999999999999</v>
      </c>
      <c r="G40" s="53">
        <f t="shared" si="1"/>
        <v>1820.04</v>
      </c>
      <c r="H40" s="24"/>
      <c r="I40" s="24"/>
      <c r="J40" s="24">
        <v>22</v>
      </c>
      <c r="K40" s="23"/>
      <c r="L40" s="16">
        <v>224</v>
      </c>
      <c r="M40" s="28" t="str">
        <f t="shared" si="12"/>
        <v>29,05</v>
      </c>
      <c r="N40" s="29"/>
      <c r="O40" s="106">
        <f>C40*0.06</f>
        <v>113.84350199999999</v>
      </c>
      <c r="P40" s="30">
        <v>107.28</v>
      </c>
      <c r="Q40" s="31">
        <f t="shared" si="8"/>
        <v>107.28</v>
      </c>
      <c r="R40" s="32">
        <f t="shared" si="10"/>
        <v>136.4</v>
      </c>
      <c r="S40" s="32">
        <f t="shared" si="11"/>
        <v>187</v>
      </c>
      <c r="T40" s="32">
        <f>T4*J40</f>
        <v>64.02000000000001</v>
      </c>
      <c r="U40" s="35"/>
      <c r="V40" s="13"/>
      <c r="W40" s="22">
        <f t="shared" si="6"/>
        <v>-224</v>
      </c>
      <c r="X40" s="22">
        <v>224</v>
      </c>
      <c r="Y40" s="12" t="s">
        <v>80</v>
      </c>
      <c r="Z40" s="11" t="s">
        <v>23</v>
      </c>
    </row>
    <row r="41" spans="1:26" x14ac:dyDescent="0.2">
      <c r="A41" s="52" t="s">
        <v>49</v>
      </c>
      <c r="B41" s="99" t="s">
        <v>50</v>
      </c>
      <c r="C41" s="53">
        <f t="shared" si="0"/>
        <v>1845.8238999999999</v>
      </c>
      <c r="D41" s="54">
        <v>44445</v>
      </c>
      <c r="E41" s="53">
        <v>35</v>
      </c>
      <c r="F41" s="53">
        <v>151.66999999999999</v>
      </c>
      <c r="G41" s="53">
        <f t="shared" si="1"/>
        <v>1820.04</v>
      </c>
      <c r="H41" s="26"/>
      <c r="I41" s="24"/>
      <c r="J41" s="24">
        <v>22</v>
      </c>
      <c r="K41" s="23"/>
      <c r="L41" s="112"/>
      <c r="M41" s="28" t="str">
        <f t="shared" si="12"/>
        <v>29,05</v>
      </c>
      <c r="N41" s="39"/>
      <c r="O41" s="109"/>
      <c r="P41" s="103"/>
      <c r="Q41" s="33"/>
      <c r="R41" s="32">
        <f t="shared" si="10"/>
        <v>136.4</v>
      </c>
      <c r="S41" s="32">
        <f t="shared" si="11"/>
        <v>187</v>
      </c>
      <c r="T41" s="32">
        <f>T4*J41</f>
        <v>64.02000000000001</v>
      </c>
      <c r="U41" s="36"/>
      <c r="V41" s="13"/>
      <c r="W41" s="22">
        <f t="shared" si="6"/>
        <v>0</v>
      </c>
      <c r="X41" s="22">
        <v>224.1</v>
      </c>
      <c r="Y41" s="12" t="s">
        <v>78</v>
      </c>
      <c r="Z41" s="11" t="s">
        <v>23</v>
      </c>
    </row>
    <row r="42" spans="1:26" x14ac:dyDescent="0.2">
      <c r="A42" s="52" t="s">
        <v>64</v>
      </c>
      <c r="B42" s="53">
        <v>12.46</v>
      </c>
      <c r="C42" s="53">
        <f t="shared" si="0"/>
        <v>1673.7518000000002</v>
      </c>
      <c r="D42" s="54">
        <v>40329.083333333336</v>
      </c>
      <c r="E42" s="53">
        <v>35</v>
      </c>
      <c r="F42" s="53">
        <v>134.33000000000001</v>
      </c>
      <c r="G42" s="53">
        <f t="shared" si="1"/>
        <v>1611.96</v>
      </c>
      <c r="H42" s="24"/>
      <c r="I42" s="24"/>
      <c r="J42" s="24">
        <v>22</v>
      </c>
      <c r="K42" s="23"/>
      <c r="L42" s="16">
        <v>218.21</v>
      </c>
      <c r="M42" s="28" t="str">
        <f t="shared" si="12"/>
        <v>29,05</v>
      </c>
      <c r="N42" s="29"/>
      <c r="O42" s="106">
        <f>C42*0.05</f>
        <v>83.687590000000014</v>
      </c>
      <c r="P42" s="30">
        <v>46.59</v>
      </c>
      <c r="Q42" s="31">
        <f>IF(H42=1,0,P42/F42*(F42-K42))</f>
        <v>46.59</v>
      </c>
      <c r="R42" s="32">
        <f t="shared" si="10"/>
        <v>136.4</v>
      </c>
      <c r="S42" s="32">
        <f t="shared" si="11"/>
        <v>187</v>
      </c>
      <c r="T42" s="32">
        <f>T4*J42</f>
        <v>64.02000000000001</v>
      </c>
      <c r="U42" s="35"/>
      <c r="V42" s="13">
        <v>1240</v>
      </c>
      <c r="W42" s="22">
        <f>(V42*1)-L42</f>
        <v>1021.79</v>
      </c>
      <c r="X42" s="22">
        <v>218.21</v>
      </c>
      <c r="Y42" s="12" t="s">
        <v>78</v>
      </c>
      <c r="Z42" s="11" t="s">
        <v>23</v>
      </c>
    </row>
    <row r="43" spans="1:26" x14ac:dyDescent="0.2">
      <c r="A43" s="98" t="s">
        <v>62</v>
      </c>
      <c r="B43" s="97">
        <v>12.51</v>
      </c>
      <c r="C43" s="97">
        <f t="shared" si="0"/>
        <v>1517.8382999999999</v>
      </c>
      <c r="D43" s="100">
        <v>40182.041666666664</v>
      </c>
      <c r="E43" s="97">
        <v>28</v>
      </c>
      <c r="F43" s="97">
        <v>121.33</v>
      </c>
      <c r="G43" s="97">
        <f t="shared" si="1"/>
        <v>1455.96</v>
      </c>
      <c r="H43" s="24"/>
      <c r="I43" s="24"/>
      <c r="J43" s="24">
        <v>22</v>
      </c>
      <c r="K43" s="23"/>
      <c r="L43" s="16">
        <v>197.12</v>
      </c>
      <c r="M43" s="28" t="str">
        <f t="shared" si="12"/>
        <v>29,05</v>
      </c>
      <c r="N43" s="29"/>
      <c r="O43" s="106">
        <f>C43*0.05</f>
        <v>75.891914999999997</v>
      </c>
      <c r="P43" s="30">
        <v>37.24</v>
      </c>
      <c r="Q43" s="31">
        <f>IF(H43=1,0,P43/F43*(F43-K43))</f>
        <v>37.24</v>
      </c>
      <c r="R43" s="32">
        <f t="shared" si="10"/>
        <v>136.4</v>
      </c>
      <c r="S43" s="32">
        <f t="shared" si="11"/>
        <v>187</v>
      </c>
      <c r="T43" s="32">
        <f>T4*J43</f>
        <v>64.02000000000001</v>
      </c>
      <c r="U43" s="35"/>
      <c r="V43" s="13">
        <v>1750</v>
      </c>
      <c r="W43" s="22">
        <f>(V43*1)-L43</f>
        <v>1552.88</v>
      </c>
      <c r="X43" s="22">
        <v>197.12</v>
      </c>
      <c r="Y43" s="12" t="s">
        <v>78</v>
      </c>
      <c r="Z43" s="11" t="s">
        <v>23</v>
      </c>
    </row>
    <row r="44" spans="1:26" x14ac:dyDescent="0.2">
      <c r="A44" s="43" t="s">
        <v>55</v>
      </c>
      <c r="B44" s="55" t="s">
        <v>65</v>
      </c>
      <c r="C44" s="53">
        <f t="shared" si="0"/>
        <v>1882.2246999999998</v>
      </c>
      <c r="D44" s="54">
        <v>33483.083333333336</v>
      </c>
      <c r="E44" s="53">
        <v>35</v>
      </c>
      <c r="F44" s="53">
        <v>151.66999999999999</v>
      </c>
      <c r="G44" s="53">
        <f t="shared" si="1"/>
        <v>1820.04</v>
      </c>
      <c r="H44" s="24"/>
      <c r="I44" s="24"/>
      <c r="J44" s="24">
        <v>22</v>
      </c>
      <c r="K44" s="23"/>
      <c r="L44" s="16">
        <v>368</v>
      </c>
      <c r="M44" s="28" t="str">
        <f t="shared" si="12"/>
        <v>29,05</v>
      </c>
      <c r="N44" s="29"/>
      <c r="O44" s="106">
        <f>C44*0.06</f>
        <v>112.93348199999998</v>
      </c>
      <c r="P44" s="30">
        <f>170.57</f>
        <v>170.57</v>
      </c>
      <c r="Q44" s="31">
        <f>IF(H44=1,0,P44/F44*(F44-K44))</f>
        <v>170.57</v>
      </c>
      <c r="R44" s="32">
        <f t="shared" si="10"/>
        <v>136.4</v>
      </c>
      <c r="S44" s="32">
        <f t="shared" si="11"/>
        <v>187</v>
      </c>
      <c r="T44" s="32">
        <f>T4*J44</f>
        <v>64.02000000000001</v>
      </c>
      <c r="U44" s="35"/>
      <c r="V44" s="13">
        <v>1086.79</v>
      </c>
      <c r="W44" s="22">
        <f>(V44*1)-L44</f>
        <v>718.79</v>
      </c>
      <c r="X44" s="22">
        <v>368</v>
      </c>
      <c r="Y44" s="12" t="s">
        <v>9</v>
      </c>
      <c r="Z44" s="11" t="s">
        <v>23</v>
      </c>
    </row>
    <row r="45" spans="1:26" x14ac:dyDescent="0.2">
      <c r="A45" s="98" t="s">
        <v>64</v>
      </c>
      <c r="B45" s="97">
        <v>12.46</v>
      </c>
      <c r="C45" s="97">
        <f t="shared" si="0"/>
        <v>1673.7518000000002</v>
      </c>
      <c r="D45" s="100">
        <v>36346.083333333336</v>
      </c>
      <c r="E45" s="97">
        <v>35</v>
      </c>
      <c r="F45" s="97">
        <v>134.33000000000001</v>
      </c>
      <c r="G45" s="97">
        <f t="shared" si="1"/>
        <v>1611.96</v>
      </c>
      <c r="H45" s="24"/>
      <c r="I45" s="24"/>
      <c r="J45" s="24">
        <v>22</v>
      </c>
      <c r="K45" s="23"/>
      <c r="L45" s="16">
        <v>325.89999999999998</v>
      </c>
      <c r="M45" s="28" t="str">
        <f t="shared" si="12"/>
        <v>29,05</v>
      </c>
      <c r="N45" s="29"/>
      <c r="O45" s="106">
        <f>C45*0.06</f>
        <v>100.42510800000001</v>
      </c>
      <c r="P45" s="30">
        <v>46.59</v>
      </c>
      <c r="Q45" s="31">
        <f>IF(H45=1,0,P45/F45*(F45-K45))</f>
        <v>46.59</v>
      </c>
      <c r="R45" s="32">
        <f t="shared" si="10"/>
        <v>136.4</v>
      </c>
      <c r="S45" s="32">
        <f t="shared" si="11"/>
        <v>187</v>
      </c>
      <c r="T45" s="32">
        <f>T4*J45</f>
        <v>64.02000000000001</v>
      </c>
      <c r="U45" s="35"/>
      <c r="V45" s="13">
        <v>1240</v>
      </c>
      <c r="W45" s="22">
        <f>(V45*1)-L45</f>
        <v>914.1</v>
      </c>
      <c r="X45" s="22">
        <v>325.89999999999998</v>
      </c>
      <c r="Y45" s="12" t="s">
        <v>78</v>
      </c>
      <c r="Z45" s="11" t="s">
        <v>23</v>
      </c>
    </row>
    <row r="46" spans="1:26" x14ac:dyDescent="0.2">
      <c r="A46" s="52" t="s">
        <v>49</v>
      </c>
      <c r="B46" s="53">
        <v>12.147</v>
      </c>
      <c r="C46" s="53">
        <f t="shared" si="0"/>
        <v>1842.3354899999999</v>
      </c>
      <c r="D46" s="54">
        <v>44375</v>
      </c>
      <c r="E46" s="53">
        <v>35</v>
      </c>
      <c r="F46" s="53">
        <v>151.66999999999999</v>
      </c>
      <c r="G46" s="53">
        <f t="shared" si="1"/>
        <v>1820.04</v>
      </c>
      <c r="H46" s="24"/>
      <c r="I46" s="24"/>
      <c r="J46" s="24">
        <v>22</v>
      </c>
      <c r="K46" s="23"/>
      <c r="L46" s="111"/>
      <c r="M46" s="28" t="str">
        <f t="shared" si="12"/>
        <v>29,05</v>
      </c>
      <c r="N46" s="29"/>
      <c r="O46" s="108"/>
      <c r="P46" s="103"/>
      <c r="Q46" s="37"/>
      <c r="R46" s="32">
        <f t="shared" si="10"/>
        <v>136.4</v>
      </c>
      <c r="S46" s="32">
        <f t="shared" si="11"/>
        <v>187</v>
      </c>
      <c r="T46" s="32">
        <f>T4*J46</f>
        <v>64.02000000000001</v>
      </c>
      <c r="U46" s="35"/>
      <c r="V46" s="13"/>
      <c r="W46" s="22">
        <f t="shared" si="6"/>
        <v>0</v>
      </c>
      <c r="X46" s="22">
        <v>203.2</v>
      </c>
      <c r="Y46" s="12" t="s">
        <v>78</v>
      </c>
      <c r="Z46" s="11" t="s">
        <v>23</v>
      </c>
    </row>
    <row r="47" spans="1:26" x14ac:dyDescent="0.2">
      <c r="A47" s="52" t="s">
        <v>46</v>
      </c>
      <c r="B47" s="53">
        <v>12.51</v>
      </c>
      <c r="C47" s="53">
        <f t="shared" si="0"/>
        <v>1897.3916999999999</v>
      </c>
      <c r="D47" s="54">
        <v>36459.083333333336</v>
      </c>
      <c r="E47" s="53">
        <v>35</v>
      </c>
      <c r="F47" s="53">
        <v>151.66999999999999</v>
      </c>
      <c r="G47" s="53">
        <f t="shared" si="1"/>
        <v>1820.04</v>
      </c>
      <c r="H47" s="24"/>
      <c r="I47" s="24"/>
      <c r="J47" s="24">
        <v>22</v>
      </c>
      <c r="K47" s="23"/>
      <c r="L47" s="16">
        <v>368</v>
      </c>
      <c r="M47" s="28" t="str">
        <f t="shared" si="12"/>
        <v>29,05</v>
      </c>
      <c r="N47" s="29"/>
      <c r="O47" s="106">
        <f>C47*0.06</f>
        <v>113.84350199999999</v>
      </c>
      <c r="P47" s="30">
        <v>14.27</v>
      </c>
      <c r="Q47" s="34">
        <f>IF(H47=1,0,P47/F47*(F47-K47))</f>
        <v>14.27</v>
      </c>
      <c r="R47" s="32">
        <f t="shared" si="10"/>
        <v>136.4</v>
      </c>
      <c r="S47" s="32">
        <f t="shared" si="11"/>
        <v>187</v>
      </c>
      <c r="T47" s="32">
        <f>T4*J47</f>
        <v>64.02000000000001</v>
      </c>
      <c r="U47" s="35"/>
      <c r="V47" s="13">
        <v>1400</v>
      </c>
      <c r="W47" s="22">
        <f>(V47*1)-L47</f>
        <v>1032</v>
      </c>
      <c r="X47" s="22">
        <v>368</v>
      </c>
      <c r="Y47" s="12" t="s">
        <v>9</v>
      </c>
      <c r="Z47" s="11" t="s">
        <v>23</v>
      </c>
    </row>
    <row r="48" spans="1:26" x14ac:dyDescent="0.2">
      <c r="A48" s="52" t="s">
        <v>66</v>
      </c>
      <c r="B48" s="53">
        <v>13.98</v>
      </c>
      <c r="C48" s="53">
        <f t="shared" si="0"/>
        <v>2120.3465999999999</v>
      </c>
      <c r="D48" s="54">
        <v>40546.041666666664</v>
      </c>
      <c r="E48" s="53">
        <v>35</v>
      </c>
      <c r="F48" s="53">
        <v>151.66999999999999</v>
      </c>
      <c r="G48" s="53">
        <f t="shared" si="1"/>
        <v>1820.04</v>
      </c>
      <c r="H48" s="24"/>
      <c r="I48" s="24"/>
      <c r="J48" s="24">
        <v>22</v>
      </c>
      <c r="K48" s="23"/>
      <c r="L48" s="111"/>
      <c r="M48" s="28" t="str">
        <f t="shared" si="12"/>
        <v>29,05</v>
      </c>
      <c r="N48" s="29"/>
      <c r="O48" s="106">
        <f>C48*0.05</f>
        <v>106.01733</v>
      </c>
      <c r="P48" s="30">
        <v>107.28</v>
      </c>
      <c r="Q48" s="31">
        <f>IF(H48=1,0,P48/F48*(F48-K48))</f>
        <v>107.28</v>
      </c>
      <c r="R48" s="32">
        <f t="shared" si="10"/>
        <v>136.4</v>
      </c>
      <c r="S48" s="32">
        <f t="shared" si="11"/>
        <v>187</v>
      </c>
      <c r="T48" s="32">
        <f>T4*J48</f>
        <v>64.02000000000001</v>
      </c>
      <c r="U48" s="35"/>
      <c r="V48" s="13"/>
      <c r="W48" s="22">
        <f t="shared" si="6"/>
        <v>0</v>
      </c>
      <c r="X48" s="22">
        <v>246.39</v>
      </c>
      <c r="Y48" s="12" t="s">
        <v>78</v>
      </c>
      <c r="Z48" s="11" t="s">
        <v>23</v>
      </c>
    </row>
    <row r="49" spans="1:26" x14ac:dyDescent="0.2">
      <c r="A49" s="52" t="s">
        <v>49</v>
      </c>
      <c r="B49" s="53">
        <v>12.17</v>
      </c>
      <c r="C49" s="53">
        <f t="shared" si="0"/>
        <v>1845.8238999999999</v>
      </c>
      <c r="D49" s="54">
        <v>43832.041666666664</v>
      </c>
      <c r="E49" s="53">
        <v>35</v>
      </c>
      <c r="F49" s="57">
        <v>151.66999999999999</v>
      </c>
      <c r="G49" s="53">
        <f t="shared" si="1"/>
        <v>1820.04</v>
      </c>
      <c r="H49" s="26"/>
      <c r="I49" s="24"/>
      <c r="J49" s="24">
        <v>22</v>
      </c>
      <c r="K49" s="25"/>
      <c r="L49" s="112"/>
      <c r="M49" s="28" t="str">
        <f t="shared" si="12"/>
        <v>29,05</v>
      </c>
      <c r="N49" s="39"/>
      <c r="O49" s="107">
        <f>C49*0.02</f>
        <v>36.916477999999998</v>
      </c>
      <c r="P49" s="103"/>
      <c r="Q49" s="37"/>
      <c r="R49" s="32">
        <f t="shared" si="10"/>
        <v>136.4</v>
      </c>
      <c r="S49" s="32">
        <f t="shared" si="11"/>
        <v>187</v>
      </c>
      <c r="T49" s="32">
        <f>T4*J49</f>
        <v>64.02000000000001</v>
      </c>
      <c r="U49" s="36"/>
      <c r="V49" s="14"/>
      <c r="W49" s="22">
        <f t="shared" si="6"/>
        <v>0</v>
      </c>
      <c r="X49" s="22">
        <v>246.39</v>
      </c>
      <c r="Y49" s="12" t="s">
        <v>78</v>
      </c>
      <c r="Z49" s="11" t="s">
        <v>23</v>
      </c>
    </row>
    <row r="50" spans="1:26" x14ac:dyDescent="0.2">
      <c r="A50" s="52" t="s">
        <v>67</v>
      </c>
      <c r="B50" s="53">
        <v>13.72</v>
      </c>
      <c r="C50" s="53">
        <f t="shared" si="0"/>
        <v>2080.9123999999997</v>
      </c>
      <c r="D50" s="54">
        <v>34304.041666666664</v>
      </c>
      <c r="E50" s="53">
        <v>35</v>
      </c>
      <c r="F50" s="57">
        <v>151.66999999999999</v>
      </c>
      <c r="G50" s="53">
        <f t="shared" si="1"/>
        <v>1820.04</v>
      </c>
      <c r="H50" s="26"/>
      <c r="I50" s="24"/>
      <c r="J50" s="24">
        <v>22</v>
      </c>
      <c r="K50" s="23"/>
      <c r="L50" s="17">
        <v>368</v>
      </c>
      <c r="M50" s="28" t="str">
        <f t="shared" si="12"/>
        <v>29,05</v>
      </c>
      <c r="N50" s="39"/>
      <c r="O50" s="107">
        <f>C50*0.06</f>
        <v>124.85474399999998</v>
      </c>
      <c r="P50" s="30">
        <v>105.13</v>
      </c>
      <c r="Q50" s="31">
        <f>IF(H50=1,0,P50/F50*(F50-K50))</f>
        <v>105.13</v>
      </c>
      <c r="R50" s="32">
        <f t="shared" si="10"/>
        <v>136.4</v>
      </c>
      <c r="S50" s="32">
        <f t="shared" si="11"/>
        <v>187</v>
      </c>
      <c r="T50" s="32">
        <f>T4*J50</f>
        <v>64.02000000000001</v>
      </c>
      <c r="U50" s="36"/>
      <c r="V50" s="14">
        <v>1086.79</v>
      </c>
      <c r="W50" s="22">
        <f>(V50*1)-L50</f>
        <v>718.79</v>
      </c>
      <c r="X50" s="22">
        <v>368</v>
      </c>
      <c r="Y50" s="12" t="s">
        <v>9</v>
      </c>
      <c r="Z50" s="11" t="s">
        <v>23</v>
      </c>
    </row>
    <row r="51" spans="1:26" x14ac:dyDescent="0.2">
      <c r="A51" s="52" t="s">
        <v>54</v>
      </c>
      <c r="B51" s="53">
        <v>12.75</v>
      </c>
      <c r="C51" s="53">
        <f t="shared" si="0"/>
        <v>1933.7924999999998</v>
      </c>
      <c r="D51" s="54">
        <v>30124.083333333332</v>
      </c>
      <c r="E51" s="53">
        <v>35</v>
      </c>
      <c r="F51" s="57">
        <v>151.66999999999999</v>
      </c>
      <c r="G51" s="53">
        <f t="shared" si="1"/>
        <v>1820.04</v>
      </c>
      <c r="H51" s="26"/>
      <c r="I51" s="24"/>
      <c r="J51" s="24">
        <v>22</v>
      </c>
      <c r="K51" s="25"/>
      <c r="L51" s="17">
        <v>368</v>
      </c>
      <c r="M51" s="28" t="str">
        <f t="shared" si="12"/>
        <v>29,05</v>
      </c>
      <c r="N51" s="39"/>
      <c r="O51" s="107">
        <f>C51*0.06</f>
        <v>116.02754999999998</v>
      </c>
      <c r="P51" s="30">
        <v>61.83</v>
      </c>
      <c r="Q51" s="31">
        <f>IF(H51=1,0,P51/F51*(F51-K51))</f>
        <v>61.83</v>
      </c>
      <c r="R51" s="32">
        <f t="shared" si="10"/>
        <v>136.4</v>
      </c>
      <c r="S51" s="32">
        <f t="shared" si="11"/>
        <v>187</v>
      </c>
      <c r="T51" s="32">
        <f>T4*J51</f>
        <v>64.02000000000001</v>
      </c>
      <c r="U51" s="36"/>
      <c r="V51" s="13">
        <v>1400</v>
      </c>
      <c r="W51" s="22">
        <f>(V51*1)-L51</f>
        <v>1032</v>
      </c>
      <c r="X51" s="22">
        <v>368</v>
      </c>
      <c r="Y51" s="12" t="s">
        <v>9</v>
      </c>
      <c r="Z51" s="11" t="s">
        <v>23</v>
      </c>
    </row>
    <row r="52" spans="1:26" x14ac:dyDescent="0.2">
      <c r="A52" s="52" t="s">
        <v>49</v>
      </c>
      <c r="B52" s="53">
        <v>12.17</v>
      </c>
      <c r="C52" s="53">
        <f t="shared" ref="C52" si="13">B52*F52</f>
        <v>1845.8238999999999</v>
      </c>
      <c r="D52" s="54">
        <v>44897</v>
      </c>
      <c r="E52" s="53">
        <v>35</v>
      </c>
      <c r="F52" s="57">
        <v>151.66999999999999</v>
      </c>
      <c r="G52" s="53">
        <f t="shared" si="1"/>
        <v>1820.04</v>
      </c>
      <c r="H52" s="26"/>
      <c r="I52" s="24"/>
      <c r="J52" s="24">
        <v>22</v>
      </c>
      <c r="K52" s="25"/>
      <c r="L52" s="112"/>
      <c r="M52" s="28" t="str">
        <f t="shared" si="12"/>
        <v>29,05</v>
      </c>
      <c r="N52" s="39"/>
      <c r="O52" s="109"/>
      <c r="P52" s="103"/>
      <c r="Q52" s="110"/>
      <c r="R52" s="32"/>
      <c r="S52" s="32"/>
      <c r="T52" s="32">
        <f>T4*J52</f>
        <v>64.02000000000001</v>
      </c>
      <c r="U52" s="36"/>
      <c r="V52" s="13"/>
      <c r="W52" s="22">
        <f t="shared" si="6"/>
        <v>0</v>
      </c>
      <c r="X52" s="22">
        <v>246.39</v>
      </c>
      <c r="Y52" s="12" t="s">
        <v>78</v>
      </c>
      <c r="Z52" s="11" t="s">
        <v>23</v>
      </c>
    </row>
    <row r="53" spans="1:26" x14ac:dyDescent="0.2">
      <c r="A53" s="52" t="s">
        <v>54</v>
      </c>
      <c r="B53" s="53">
        <v>12.75</v>
      </c>
      <c r="C53" s="53">
        <f t="shared" si="0"/>
        <v>1933.7924999999998</v>
      </c>
      <c r="D53" s="54">
        <v>38250.083333333336</v>
      </c>
      <c r="E53" s="53">
        <v>35</v>
      </c>
      <c r="F53" s="57">
        <v>151.66999999999999</v>
      </c>
      <c r="G53" s="53">
        <f t="shared" si="1"/>
        <v>1820.04</v>
      </c>
      <c r="H53" s="26"/>
      <c r="I53" s="24"/>
      <c r="J53" s="24">
        <v>22</v>
      </c>
      <c r="K53" s="25"/>
      <c r="L53" s="17">
        <v>246.39</v>
      </c>
      <c r="M53" s="28" t="str">
        <f t="shared" si="12"/>
        <v>29,05</v>
      </c>
      <c r="N53" s="39"/>
      <c r="O53" s="107">
        <f>C53*0.06</f>
        <v>116.02754999999998</v>
      </c>
      <c r="P53" s="103"/>
      <c r="Q53" s="37"/>
      <c r="R53" s="32">
        <f t="shared" ref="R53:R69" si="14">IF(H53=1,0,$R$4*J53)</f>
        <v>136.4</v>
      </c>
      <c r="S53" s="32">
        <f t="shared" ref="S53:S69" si="15">IF(H53=1,0,$S$4*J53)</f>
        <v>187</v>
      </c>
      <c r="T53" s="32">
        <f>T4*J53</f>
        <v>64.02000000000001</v>
      </c>
      <c r="U53" s="36"/>
      <c r="V53" s="13">
        <v>1400</v>
      </c>
      <c r="W53" s="22">
        <f>(V53*1)-L53</f>
        <v>1153.6100000000001</v>
      </c>
      <c r="X53" s="22">
        <v>246.39</v>
      </c>
      <c r="Y53" s="12" t="s">
        <v>78</v>
      </c>
      <c r="Z53" s="11" t="s">
        <v>23</v>
      </c>
    </row>
    <row r="54" spans="1:26" x14ac:dyDescent="0.2">
      <c r="A54" s="52" t="s">
        <v>55</v>
      </c>
      <c r="B54" s="53">
        <v>12.41</v>
      </c>
      <c r="C54" s="53">
        <f t="shared" si="0"/>
        <v>1882.2246999999998</v>
      </c>
      <c r="D54" s="54">
        <v>35977.083333333336</v>
      </c>
      <c r="E54" s="53">
        <v>35</v>
      </c>
      <c r="F54" s="57">
        <v>151.66999999999999</v>
      </c>
      <c r="G54" s="53">
        <f t="shared" si="1"/>
        <v>1820.04</v>
      </c>
      <c r="H54" s="26"/>
      <c r="I54" s="24"/>
      <c r="J54" s="24">
        <v>22</v>
      </c>
      <c r="K54" s="25"/>
      <c r="L54" s="17">
        <v>368</v>
      </c>
      <c r="M54" s="28" t="str">
        <f t="shared" si="12"/>
        <v>29,05</v>
      </c>
      <c r="N54" s="39"/>
      <c r="O54" s="107">
        <f>C54*0.06</f>
        <v>112.93348199999998</v>
      </c>
      <c r="P54" s="30">
        <v>107.28</v>
      </c>
      <c r="Q54" s="31">
        <f>IF(H54=1,0,P54/F54*(F54-K54))</f>
        <v>107.28</v>
      </c>
      <c r="R54" s="32">
        <f t="shared" si="14"/>
        <v>136.4</v>
      </c>
      <c r="S54" s="32">
        <f t="shared" si="15"/>
        <v>187</v>
      </c>
      <c r="T54" s="32">
        <f>T4*J54</f>
        <v>64.02000000000001</v>
      </c>
      <c r="U54" s="36"/>
      <c r="V54" s="14"/>
      <c r="W54" s="22">
        <f>(V54*1)-L54</f>
        <v>-368</v>
      </c>
      <c r="X54" s="22">
        <v>368</v>
      </c>
      <c r="Y54" s="12" t="s">
        <v>9</v>
      </c>
      <c r="Z54" s="11" t="s">
        <v>23</v>
      </c>
    </row>
    <row r="55" spans="1:26" x14ac:dyDescent="0.2">
      <c r="A55" s="52" t="s">
        <v>58</v>
      </c>
      <c r="B55" s="53">
        <v>14.79</v>
      </c>
      <c r="C55" s="53">
        <f t="shared" si="0"/>
        <v>2243.1992999999998</v>
      </c>
      <c r="D55" s="54">
        <v>32744.083333333332</v>
      </c>
      <c r="E55" s="53">
        <v>35</v>
      </c>
      <c r="F55" s="57">
        <v>151.66999999999999</v>
      </c>
      <c r="G55" s="53">
        <f t="shared" si="1"/>
        <v>1820.04</v>
      </c>
      <c r="H55" s="26"/>
      <c r="I55" s="24"/>
      <c r="J55" s="24">
        <v>22</v>
      </c>
      <c r="K55" s="25"/>
      <c r="L55" s="17">
        <v>367.99</v>
      </c>
      <c r="M55" s="28" t="str">
        <f t="shared" si="12"/>
        <v>29,05</v>
      </c>
      <c r="N55" s="39"/>
      <c r="O55" s="107">
        <f>C55*0.06</f>
        <v>134.59195799999998</v>
      </c>
      <c r="P55" s="30">
        <v>14.27</v>
      </c>
      <c r="Q55" s="31">
        <f>IF(H55=1,0,P55/F55*(F55-K55))</f>
        <v>14.27</v>
      </c>
      <c r="R55" s="32">
        <f t="shared" si="14"/>
        <v>136.4</v>
      </c>
      <c r="S55" s="32">
        <f t="shared" si="15"/>
        <v>187</v>
      </c>
      <c r="T55" s="32">
        <f>T4*J55</f>
        <v>64.02000000000001</v>
      </c>
      <c r="U55" s="36"/>
      <c r="V55" s="13">
        <v>1400</v>
      </c>
      <c r="W55" s="22">
        <f>(V55*1)-L55</f>
        <v>1032.01</v>
      </c>
      <c r="X55" s="22">
        <v>367.99</v>
      </c>
      <c r="Y55" s="12" t="s">
        <v>9</v>
      </c>
      <c r="Z55" s="11" t="s">
        <v>23</v>
      </c>
    </row>
    <row r="56" spans="1:26" x14ac:dyDescent="0.2">
      <c r="A56" s="52" t="s">
        <v>64</v>
      </c>
      <c r="B56" s="53">
        <v>12.46</v>
      </c>
      <c r="C56" s="53">
        <f t="shared" si="0"/>
        <v>1889.8081999999999</v>
      </c>
      <c r="D56" s="54">
        <v>41751.083333333336</v>
      </c>
      <c r="E56" s="53">
        <v>35</v>
      </c>
      <c r="F56" s="57">
        <v>151.66999999999999</v>
      </c>
      <c r="G56" s="53">
        <f t="shared" si="1"/>
        <v>1820.04</v>
      </c>
      <c r="H56" s="26"/>
      <c r="I56" s="24"/>
      <c r="J56" s="24">
        <v>22</v>
      </c>
      <c r="K56" s="25"/>
      <c r="L56" s="112"/>
      <c r="M56" s="28" t="str">
        <f t="shared" si="12"/>
        <v>29,05</v>
      </c>
      <c r="N56" s="39"/>
      <c r="O56" s="107">
        <f>C56*0.05</f>
        <v>94.490409999999997</v>
      </c>
      <c r="P56" s="30">
        <v>109.23</v>
      </c>
      <c r="Q56" s="31">
        <f>IF(H56=1,0,P56/F56*(F56-K56))</f>
        <v>109.23</v>
      </c>
      <c r="R56" s="32">
        <f t="shared" si="14"/>
        <v>136.4</v>
      </c>
      <c r="S56" s="32">
        <f t="shared" si="15"/>
        <v>187</v>
      </c>
      <c r="T56" s="32">
        <f>T4*J56</f>
        <v>64.02000000000001</v>
      </c>
      <c r="U56" s="36"/>
      <c r="V56" s="14"/>
      <c r="W56" s="22">
        <f t="shared" si="6"/>
        <v>0</v>
      </c>
      <c r="X56" s="22">
        <v>246.39</v>
      </c>
      <c r="Y56" s="12" t="s">
        <v>78</v>
      </c>
      <c r="Z56" s="11" t="s">
        <v>23</v>
      </c>
    </row>
    <row r="57" spans="1:26" x14ac:dyDescent="0.2">
      <c r="A57" s="58" t="s">
        <v>68</v>
      </c>
      <c r="B57" s="53">
        <v>12.13</v>
      </c>
      <c r="C57" s="53">
        <f>B57*F57</f>
        <v>1839.7571</v>
      </c>
      <c r="D57" s="54">
        <v>45013</v>
      </c>
      <c r="E57" s="53">
        <v>35</v>
      </c>
      <c r="F57" s="57">
        <v>151.66999999999999</v>
      </c>
      <c r="G57" s="53">
        <f>F57*12</f>
        <v>1820.04</v>
      </c>
      <c r="H57" s="26"/>
      <c r="I57" s="24"/>
      <c r="J57" s="24">
        <v>22</v>
      </c>
      <c r="K57" s="23"/>
      <c r="L57" s="112"/>
      <c r="M57" s="28" t="str">
        <f t="shared" si="12"/>
        <v>29,05</v>
      </c>
      <c r="N57" s="39"/>
      <c r="O57" s="109"/>
      <c r="P57" s="103"/>
      <c r="Q57" s="33"/>
      <c r="R57" s="32">
        <f t="shared" si="14"/>
        <v>136.4</v>
      </c>
      <c r="S57" s="32">
        <f t="shared" si="15"/>
        <v>187</v>
      </c>
      <c r="T57" s="32">
        <f>T4*J57</f>
        <v>64.02000000000001</v>
      </c>
      <c r="U57" s="36"/>
      <c r="V57" s="13"/>
      <c r="W57" s="22">
        <f t="shared" si="6"/>
        <v>0</v>
      </c>
      <c r="X57" s="22">
        <v>246.39</v>
      </c>
      <c r="Y57" s="12" t="s">
        <v>78</v>
      </c>
      <c r="Z57" s="11" t="s">
        <v>23</v>
      </c>
    </row>
    <row r="58" spans="1:26" x14ac:dyDescent="0.2">
      <c r="A58" s="58" t="s">
        <v>49</v>
      </c>
      <c r="B58" s="53">
        <v>12.17</v>
      </c>
      <c r="C58" s="53">
        <f>B58*F58</f>
        <v>1845.8238999999999</v>
      </c>
      <c r="D58" s="54">
        <v>44410</v>
      </c>
      <c r="E58" s="53">
        <v>35</v>
      </c>
      <c r="F58" s="57">
        <v>151.66999999999999</v>
      </c>
      <c r="G58" s="53">
        <f>F58*12</f>
        <v>1820.04</v>
      </c>
      <c r="H58" s="26"/>
      <c r="I58" s="24"/>
      <c r="J58" s="24">
        <v>22</v>
      </c>
      <c r="K58" s="23"/>
      <c r="L58" s="112"/>
      <c r="M58" s="28" t="str">
        <f t="shared" si="12"/>
        <v>29,05</v>
      </c>
      <c r="N58" s="39"/>
      <c r="O58" s="109"/>
      <c r="P58" s="103"/>
      <c r="Q58" s="33"/>
      <c r="R58" s="32">
        <f t="shared" si="14"/>
        <v>136.4</v>
      </c>
      <c r="S58" s="32">
        <f t="shared" si="15"/>
        <v>187</v>
      </c>
      <c r="T58" s="32">
        <f>T4*J58</f>
        <v>64.02000000000001</v>
      </c>
      <c r="U58" s="36"/>
      <c r="V58" s="13"/>
      <c r="W58" s="22">
        <f t="shared" si="6"/>
        <v>0</v>
      </c>
      <c r="X58" s="22">
        <v>246.39</v>
      </c>
      <c r="Y58" s="12" t="s">
        <v>78</v>
      </c>
      <c r="Z58" s="11" t="s">
        <v>23</v>
      </c>
    </row>
    <row r="59" spans="1:26" x14ac:dyDescent="0.2">
      <c r="A59" s="58" t="s">
        <v>69</v>
      </c>
      <c r="B59" s="53">
        <v>12.52</v>
      </c>
      <c r="C59" s="53">
        <f>B59*F59</f>
        <v>1898.9083999999998</v>
      </c>
      <c r="D59" s="54">
        <v>35012</v>
      </c>
      <c r="E59" s="53">
        <v>35</v>
      </c>
      <c r="F59" s="57">
        <v>151.66999999999999</v>
      </c>
      <c r="G59" s="53">
        <f>F59*12</f>
        <v>1820.04</v>
      </c>
      <c r="H59" s="26"/>
      <c r="I59" s="24"/>
      <c r="J59" s="24">
        <v>22</v>
      </c>
      <c r="K59" s="23"/>
      <c r="L59" s="112"/>
      <c r="M59" s="28"/>
      <c r="N59" s="39"/>
      <c r="O59" s="107">
        <f>C59*0.06</f>
        <v>113.93450399999999</v>
      </c>
      <c r="P59" s="30">
        <v>156.12</v>
      </c>
      <c r="Q59" s="31">
        <f>IF(H59=1,0,P59/F59*(F59-K59))</f>
        <v>156.12</v>
      </c>
      <c r="R59" s="32">
        <f t="shared" si="14"/>
        <v>136.4</v>
      </c>
      <c r="S59" s="32">
        <f t="shared" si="15"/>
        <v>187</v>
      </c>
      <c r="T59" s="32">
        <f>T4*J59</f>
        <v>64.02000000000001</v>
      </c>
      <c r="U59" s="36"/>
      <c r="V59" s="13"/>
      <c r="W59" s="22">
        <f t="shared" si="6"/>
        <v>0</v>
      </c>
      <c r="X59" s="22">
        <v>1416.61</v>
      </c>
      <c r="Y59" s="12" t="s">
        <v>78</v>
      </c>
      <c r="Z59" s="11" t="s">
        <v>23</v>
      </c>
    </row>
    <row r="60" spans="1:26" x14ac:dyDescent="0.2">
      <c r="A60" s="52" t="s">
        <v>54</v>
      </c>
      <c r="B60" s="53">
        <v>12.75</v>
      </c>
      <c r="C60" s="53">
        <f t="shared" si="0"/>
        <v>1933.7924999999998</v>
      </c>
      <c r="D60" s="54">
        <v>41386.083333333336</v>
      </c>
      <c r="E60" s="53">
        <v>35</v>
      </c>
      <c r="F60" s="57">
        <v>151.66999999999999</v>
      </c>
      <c r="G60" s="53">
        <f t="shared" si="1"/>
        <v>1820.04</v>
      </c>
      <c r="H60" s="26"/>
      <c r="I60" s="24"/>
      <c r="J60" s="24">
        <v>22</v>
      </c>
      <c r="K60" s="25"/>
      <c r="L60" s="112"/>
      <c r="M60" s="28" t="str">
        <f t="shared" ref="M60:M98" si="16">IF(H60=1,0,IF((F60-K60)&lt;104,$M$4/151.67*(F60-K60),$M$4))</f>
        <v>29,05</v>
      </c>
      <c r="N60" s="39"/>
      <c r="O60" s="107">
        <f>C60*0.05</f>
        <v>96.689624999999992</v>
      </c>
      <c r="P60" s="30">
        <v>109.24</v>
      </c>
      <c r="Q60" s="34">
        <f>IF(H60=1,0,P60/F60*(F60-K60))</f>
        <v>109.24</v>
      </c>
      <c r="R60" s="32">
        <f t="shared" si="14"/>
        <v>136.4</v>
      </c>
      <c r="S60" s="32">
        <f t="shared" si="15"/>
        <v>187</v>
      </c>
      <c r="T60" s="32">
        <f>T4*J60</f>
        <v>64.02000000000001</v>
      </c>
      <c r="U60" s="36"/>
      <c r="V60" s="14"/>
      <c r="W60" s="22">
        <f t="shared" si="6"/>
        <v>0</v>
      </c>
      <c r="X60" s="22">
        <v>246.39</v>
      </c>
      <c r="Y60" s="12" t="s">
        <v>78</v>
      </c>
      <c r="Z60" s="11" t="s">
        <v>23</v>
      </c>
    </row>
    <row r="61" spans="1:26" x14ac:dyDescent="0.2">
      <c r="A61" s="52" t="s">
        <v>54</v>
      </c>
      <c r="B61" s="53">
        <v>12.75</v>
      </c>
      <c r="C61" s="53">
        <f>B61*F61</f>
        <v>1933.7924999999998</v>
      </c>
      <c r="D61" s="54">
        <v>33973.041666666664</v>
      </c>
      <c r="E61" s="53">
        <v>35</v>
      </c>
      <c r="F61" s="57">
        <v>151.66999999999999</v>
      </c>
      <c r="G61" s="53">
        <f>F61*12</f>
        <v>1820.04</v>
      </c>
      <c r="H61" s="26"/>
      <c r="I61" s="24"/>
      <c r="J61" s="24">
        <v>22</v>
      </c>
      <c r="K61" s="23"/>
      <c r="L61" s="17">
        <v>368</v>
      </c>
      <c r="M61" s="28" t="str">
        <f t="shared" si="16"/>
        <v>29,05</v>
      </c>
      <c r="N61" s="39"/>
      <c r="O61" s="107">
        <f>C61*0.06</f>
        <v>116.02754999999998</v>
      </c>
      <c r="P61" s="30">
        <v>46.28</v>
      </c>
      <c r="Q61" s="31">
        <f>IF(H61=1,0,P61/F61*(F61-K61))</f>
        <v>46.280000000000008</v>
      </c>
      <c r="R61" s="32">
        <f t="shared" si="14"/>
        <v>136.4</v>
      </c>
      <c r="S61" s="32">
        <f t="shared" si="15"/>
        <v>187</v>
      </c>
      <c r="T61" s="32">
        <f>T4*J61</f>
        <v>64.02000000000001</v>
      </c>
      <c r="U61" s="36"/>
      <c r="V61" s="13">
        <v>1400</v>
      </c>
      <c r="W61" s="22">
        <f>(V61*0.5)-L61</f>
        <v>332</v>
      </c>
      <c r="X61" s="22">
        <v>368</v>
      </c>
      <c r="Y61" s="12" t="s">
        <v>9</v>
      </c>
      <c r="Z61" s="11" t="s">
        <v>23</v>
      </c>
    </row>
    <row r="62" spans="1:26" x14ac:dyDescent="0.2">
      <c r="A62" s="58" t="s">
        <v>66</v>
      </c>
      <c r="B62" s="53">
        <v>13.98</v>
      </c>
      <c r="C62" s="53">
        <f t="shared" si="0"/>
        <v>2120.3465999999999</v>
      </c>
      <c r="D62" s="54">
        <v>44140</v>
      </c>
      <c r="E62" s="53">
        <v>35</v>
      </c>
      <c r="F62" s="57">
        <v>151.66999999999999</v>
      </c>
      <c r="G62" s="53">
        <f t="shared" si="1"/>
        <v>1820.04</v>
      </c>
      <c r="H62" s="26"/>
      <c r="I62" s="24"/>
      <c r="J62" s="24">
        <v>22</v>
      </c>
      <c r="K62" s="23"/>
      <c r="L62" s="112"/>
      <c r="M62" s="28" t="str">
        <f t="shared" si="16"/>
        <v>29,05</v>
      </c>
      <c r="N62" s="39"/>
      <c r="O62" s="109"/>
      <c r="P62" s="103"/>
      <c r="Q62" s="33"/>
      <c r="R62" s="32">
        <f t="shared" si="14"/>
        <v>136.4</v>
      </c>
      <c r="S62" s="32">
        <f t="shared" si="15"/>
        <v>187</v>
      </c>
      <c r="T62" s="32">
        <f>T4*J62</f>
        <v>64.02000000000001</v>
      </c>
      <c r="U62" s="36"/>
      <c r="V62" s="13">
        <v>1400</v>
      </c>
      <c r="W62" s="22">
        <f t="shared" si="6"/>
        <v>1106</v>
      </c>
      <c r="X62" s="22">
        <v>246.39</v>
      </c>
      <c r="Y62" s="12" t="s">
        <v>78</v>
      </c>
      <c r="Z62" s="11" t="s">
        <v>23</v>
      </c>
    </row>
    <row r="63" spans="1:26" x14ac:dyDescent="0.2">
      <c r="A63" s="52" t="s">
        <v>54</v>
      </c>
      <c r="B63" s="53">
        <v>12.75</v>
      </c>
      <c r="C63" s="53">
        <f t="shared" si="0"/>
        <v>1933.7924999999998</v>
      </c>
      <c r="D63" s="54">
        <v>31959.083333333332</v>
      </c>
      <c r="E63" s="53">
        <v>35</v>
      </c>
      <c r="F63" s="57">
        <v>151.66999999999999</v>
      </c>
      <c r="G63" s="53">
        <f t="shared" si="1"/>
        <v>1820.04</v>
      </c>
      <c r="H63" s="26"/>
      <c r="I63" s="24"/>
      <c r="J63" s="24">
        <v>22</v>
      </c>
      <c r="K63" s="25"/>
      <c r="L63" s="17">
        <v>368</v>
      </c>
      <c r="M63" s="28" t="str">
        <f t="shared" si="16"/>
        <v>29,05</v>
      </c>
      <c r="N63" s="39"/>
      <c r="O63" s="107">
        <f>C63*0.06</f>
        <v>116.02754999999998</v>
      </c>
      <c r="P63" s="30">
        <v>29.47</v>
      </c>
      <c r="Q63" s="31">
        <f>IF(H63=1,0,P63/F63*(F63-K63))</f>
        <v>29.47</v>
      </c>
      <c r="R63" s="32">
        <f t="shared" si="14"/>
        <v>136.4</v>
      </c>
      <c r="S63" s="32">
        <f t="shared" si="15"/>
        <v>187</v>
      </c>
      <c r="T63" s="32">
        <f>T4*J63</f>
        <v>64.02000000000001</v>
      </c>
      <c r="U63" s="36"/>
      <c r="V63" s="13">
        <v>1400</v>
      </c>
      <c r="W63" s="22">
        <f>(V63*1)-L63</f>
        <v>1032</v>
      </c>
      <c r="X63" s="22">
        <v>368</v>
      </c>
      <c r="Y63" s="12" t="s">
        <v>9</v>
      </c>
      <c r="Z63" s="11" t="s">
        <v>23</v>
      </c>
    </row>
    <row r="64" spans="1:26" x14ac:dyDescent="0.2">
      <c r="A64" s="52" t="s">
        <v>71</v>
      </c>
      <c r="B64" s="53">
        <v>14.49</v>
      </c>
      <c r="C64" s="53">
        <f t="shared" si="0"/>
        <v>2197.6983</v>
      </c>
      <c r="D64" s="54">
        <v>38429.041666666664</v>
      </c>
      <c r="E64" s="53">
        <v>35</v>
      </c>
      <c r="F64" s="57">
        <v>151.66999999999999</v>
      </c>
      <c r="G64" s="53">
        <f t="shared" si="1"/>
        <v>1820.04</v>
      </c>
      <c r="H64" s="26"/>
      <c r="I64" s="24"/>
      <c r="J64" s="24">
        <v>22</v>
      </c>
      <c r="K64" s="25"/>
      <c r="L64" s="17">
        <v>246.39</v>
      </c>
      <c r="M64" s="28" t="str">
        <f t="shared" si="16"/>
        <v>29,05</v>
      </c>
      <c r="N64" s="39"/>
      <c r="O64" s="107">
        <f>C64*0.055</f>
        <v>120.8734065</v>
      </c>
      <c r="P64" s="30">
        <v>14.27</v>
      </c>
      <c r="Q64" s="34">
        <f>IF(H64=1,0,P64/F64*(F64-K64))</f>
        <v>14.27</v>
      </c>
      <c r="R64" s="32">
        <f t="shared" si="14"/>
        <v>136.4</v>
      </c>
      <c r="S64" s="32">
        <f t="shared" si="15"/>
        <v>187</v>
      </c>
      <c r="T64" s="32">
        <f>T4*J64</f>
        <v>64.02000000000001</v>
      </c>
      <c r="U64" s="36"/>
      <c r="V64" s="13">
        <v>1400</v>
      </c>
      <c r="W64" s="22">
        <f>(V64*1)-L64</f>
        <v>1153.6100000000001</v>
      </c>
      <c r="X64" s="22">
        <v>246.39</v>
      </c>
      <c r="Y64" s="12" t="s">
        <v>78</v>
      </c>
      <c r="Z64" s="11" t="s">
        <v>23</v>
      </c>
    </row>
    <row r="65" spans="1:26" x14ac:dyDescent="0.2">
      <c r="A65" s="52" t="s">
        <v>72</v>
      </c>
      <c r="B65" s="53">
        <v>14.79</v>
      </c>
      <c r="C65" s="53">
        <f t="shared" si="0"/>
        <v>2243.1992999999998</v>
      </c>
      <c r="D65" s="54">
        <v>36342.083333333336</v>
      </c>
      <c r="E65" s="53">
        <v>35</v>
      </c>
      <c r="F65" s="57">
        <v>151.66999999999999</v>
      </c>
      <c r="G65" s="53">
        <f t="shared" si="1"/>
        <v>1820.04</v>
      </c>
      <c r="H65" s="26"/>
      <c r="I65" s="24"/>
      <c r="J65" s="24">
        <v>22</v>
      </c>
      <c r="K65" s="25"/>
      <c r="L65" s="17">
        <v>368</v>
      </c>
      <c r="M65" s="28" t="str">
        <f t="shared" si="16"/>
        <v>29,05</v>
      </c>
      <c r="N65" s="39"/>
      <c r="O65" s="107">
        <f>C65*0.06</f>
        <v>134.59195799999998</v>
      </c>
      <c r="P65" s="30">
        <v>46.59</v>
      </c>
      <c r="Q65" s="31">
        <f>IF(H65=1,0,P65/F65*(F65-K65))</f>
        <v>46.59</v>
      </c>
      <c r="R65" s="32">
        <f t="shared" si="14"/>
        <v>136.4</v>
      </c>
      <c r="S65" s="32">
        <f t="shared" si="15"/>
        <v>187</v>
      </c>
      <c r="T65" s="32">
        <f>T4*J65</f>
        <v>64.02000000000001</v>
      </c>
      <c r="U65" s="35"/>
      <c r="V65" s="13">
        <v>1400</v>
      </c>
      <c r="W65" s="22">
        <f>(V65*1)-L65</f>
        <v>1032</v>
      </c>
      <c r="X65" s="22">
        <v>368</v>
      </c>
      <c r="Y65" s="12" t="s">
        <v>9</v>
      </c>
      <c r="Z65" s="11" t="s">
        <v>23</v>
      </c>
    </row>
    <row r="66" spans="1:26" x14ac:dyDescent="0.2">
      <c r="A66" s="58" t="s">
        <v>73</v>
      </c>
      <c r="B66" s="53">
        <v>12.17</v>
      </c>
      <c r="C66" s="53">
        <f>B66*F66</f>
        <v>1845.8238999999999</v>
      </c>
      <c r="D66" s="54">
        <v>44578</v>
      </c>
      <c r="E66" s="53">
        <v>35</v>
      </c>
      <c r="F66" s="57">
        <v>151.66999999999999</v>
      </c>
      <c r="G66" s="53">
        <f>F66*12</f>
        <v>1820.04</v>
      </c>
      <c r="H66" s="26"/>
      <c r="I66" s="24"/>
      <c r="J66" s="24">
        <v>22</v>
      </c>
      <c r="K66" s="23"/>
      <c r="L66" s="112"/>
      <c r="M66" s="28" t="str">
        <f t="shared" si="16"/>
        <v>29,05</v>
      </c>
      <c r="N66" s="39"/>
      <c r="O66" s="109"/>
      <c r="P66" s="103"/>
      <c r="Q66" s="33"/>
      <c r="R66" s="32">
        <f t="shared" si="14"/>
        <v>136.4</v>
      </c>
      <c r="S66" s="32">
        <f t="shared" si="15"/>
        <v>187</v>
      </c>
      <c r="T66" s="32">
        <f>T4*J66</f>
        <v>64.02000000000001</v>
      </c>
      <c r="U66" s="36"/>
      <c r="V66" s="13"/>
      <c r="W66" s="22">
        <f t="shared" si="6"/>
        <v>0</v>
      </c>
      <c r="X66" s="22">
        <v>246.39</v>
      </c>
      <c r="Y66" s="12" t="s">
        <v>78</v>
      </c>
      <c r="Z66" s="11" t="s">
        <v>23</v>
      </c>
    </row>
    <row r="67" spans="1:26" x14ac:dyDescent="0.2">
      <c r="A67" s="52" t="s">
        <v>45</v>
      </c>
      <c r="B67" s="53">
        <v>14.96</v>
      </c>
      <c r="C67" s="53">
        <f t="shared" si="0"/>
        <v>2268.9832000000001</v>
      </c>
      <c r="D67" s="54">
        <v>33371.083333333336</v>
      </c>
      <c r="E67" s="53">
        <v>35</v>
      </c>
      <c r="F67" s="57">
        <v>151.66999999999999</v>
      </c>
      <c r="G67" s="53">
        <f t="shared" si="1"/>
        <v>1820.04</v>
      </c>
      <c r="H67" s="26"/>
      <c r="I67" s="24"/>
      <c r="J67" s="24">
        <v>22</v>
      </c>
      <c r="K67" s="25"/>
      <c r="L67" s="17">
        <v>328.7</v>
      </c>
      <c r="M67" s="28" t="str">
        <f t="shared" si="16"/>
        <v>29,05</v>
      </c>
      <c r="N67" s="39"/>
      <c r="O67" s="107">
        <f>C67*0.06</f>
        <v>136.138992</v>
      </c>
      <c r="P67" s="30">
        <v>96.59</v>
      </c>
      <c r="Q67" s="34">
        <f>IF(H67=1,0,P67/F67*(F67-K67))</f>
        <v>96.59</v>
      </c>
      <c r="R67" s="32">
        <f t="shared" si="14"/>
        <v>136.4</v>
      </c>
      <c r="S67" s="32">
        <f t="shared" si="15"/>
        <v>187</v>
      </c>
      <c r="T67" s="32">
        <f>T4*J67</f>
        <v>64.02000000000001</v>
      </c>
      <c r="U67" s="35"/>
      <c r="V67" s="13">
        <v>1400</v>
      </c>
      <c r="W67" s="22">
        <f>(V67*0.89)-L67</f>
        <v>917.3</v>
      </c>
      <c r="X67" s="22">
        <v>328.7</v>
      </c>
      <c r="Y67" s="12" t="s">
        <v>9</v>
      </c>
      <c r="Z67" s="11" t="s">
        <v>23</v>
      </c>
    </row>
    <row r="68" spans="1:26" x14ac:dyDescent="0.2">
      <c r="A68" s="52" t="s">
        <v>72</v>
      </c>
      <c r="B68" s="53">
        <v>14.79</v>
      </c>
      <c r="C68" s="53">
        <f t="shared" si="0"/>
        <v>2243.1992999999998</v>
      </c>
      <c r="D68" s="54">
        <v>37536.083333333336</v>
      </c>
      <c r="E68" s="53">
        <v>35</v>
      </c>
      <c r="F68" s="57">
        <v>151.66999999999999</v>
      </c>
      <c r="G68" s="53">
        <f t="shared" si="1"/>
        <v>1820.04</v>
      </c>
      <c r="H68" s="26"/>
      <c r="I68" s="24"/>
      <c r="J68" s="24">
        <v>22</v>
      </c>
      <c r="K68" s="25"/>
      <c r="L68" s="17">
        <v>368</v>
      </c>
      <c r="M68" s="28" t="str">
        <f t="shared" si="16"/>
        <v>29,05</v>
      </c>
      <c r="N68" s="38">
        <f>IF(H68=1,0,45)</f>
        <v>45</v>
      </c>
      <c r="O68" s="107">
        <f>C68*0.06</f>
        <v>134.59195799999998</v>
      </c>
      <c r="P68" s="30">
        <v>46.59</v>
      </c>
      <c r="Q68" s="31">
        <f>IF(H68=1,0,P68/F68*(F68-K68))</f>
        <v>46.59</v>
      </c>
      <c r="R68" s="32">
        <f t="shared" si="14"/>
        <v>136.4</v>
      </c>
      <c r="S68" s="32">
        <f t="shared" si="15"/>
        <v>187</v>
      </c>
      <c r="T68" s="32">
        <f>T4*J68</f>
        <v>64.02000000000001</v>
      </c>
      <c r="U68" s="35"/>
      <c r="V68" s="13">
        <v>1400</v>
      </c>
      <c r="W68" s="22">
        <f>(V68*1)-L68</f>
        <v>1032</v>
      </c>
      <c r="X68" s="22">
        <v>368</v>
      </c>
      <c r="Y68" s="12" t="s">
        <v>9</v>
      </c>
      <c r="Z68" s="11" t="s">
        <v>23</v>
      </c>
    </row>
    <row r="69" spans="1:26" x14ac:dyDescent="0.2">
      <c r="A69" s="52" t="s">
        <v>72</v>
      </c>
      <c r="B69" s="53">
        <v>14.79</v>
      </c>
      <c r="C69" s="53">
        <f t="shared" si="0"/>
        <v>2243.1992999999998</v>
      </c>
      <c r="D69" s="54">
        <v>40422.083333333336</v>
      </c>
      <c r="E69" s="53">
        <v>35</v>
      </c>
      <c r="F69" s="57">
        <v>151.66999999999999</v>
      </c>
      <c r="G69" s="53">
        <f t="shared" si="1"/>
        <v>1820.04</v>
      </c>
      <c r="H69" s="26"/>
      <c r="I69" s="24"/>
      <c r="J69" s="24">
        <v>22</v>
      </c>
      <c r="K69" s="25"/>
      <c r="L69" s="17">
        <v>246.39</v>
      </c>
      <c r="M69" s="28" t="str">
        <f t="shared" si="16"/>
        <v>29,05</v>
      </c>
      <c r="N69" s="39"/>
      <c r="O69" s="107">
        <f>C69*0.05</f>
        <v>112.159965</v>
      </c>
      <c r="P69" s="30">
        <v>100</v>
      </c>
      <c r="Q69" s="31">
        <f>IF(H69=1,0,P69/F69*(F69-K69))</f>
        <v>100</v>
      </c>
      <c r="R69" s="32">
        <f t="shared" si="14"/>
        <v>136.4</v>
      </c>
      <c r="S69" s="32">
        <f t="shared" si="15"/>
        <v>187</v>
      </c>
      <c r="T69" s="32">
        <f>T4*J69</f>
        <v>64.02000000000001</v>
      </c>
      <c r="U69" s="31">
        <f>IF(H69=1,0,120)</f>
        <v>120</v>
      </c>
      <c r="V69" s="14">
        <v>351.22</v>
      </c>
      <c r="W69" s="22">
        <f>(V69*1)-L69</f>
        <v>104.83000000000004</v>
      </c>
      <c r="X69" s="22">
        <v>246.39</v>
      </c>
      <c r="Y69" s="12" t="s">
        <v>78</v>
      </c>
      <c r="Z69" s="11" t="s">
        <v>23</v>
      </c>
    </row>
    <row r="70" spans="1:26" x14ac:dyDescent="0.2">
      <c r="A70" s="52" t="s">
        <v>68</v>
      </c>
      <c r="B70" s="53">
        <v>12.13</v>
      </c>
      <c r="C70" s="53">
        <f t="shared" ref="C70" si="17">B70*F70</f>
        <v>1839.7571</v>
      </c>
      <c r="D70" s="54">
        <v>45199</v>
      </c>
      <c r="E70" s="53">
        <v>35</v>
      </c>
      <c r="F70" s="57">
        <v>151.66999999999999</v>
      </c>
      <c r="G70" s="53">
        <f t="shared" si="1"/>
        <v>1820.04</v>
      </c>
      <c r="H70" s="26"/>
      <c r="I70" s="24"/>
      <c r="J70" s="24">
        <v>22</v>
      </c>
      <c r="K70" s="25"/>
      <c r="L70" s="112"/>
      <c r="M70" s="28" t="str">
        <f t="shared" si="16"/>
        <v>29,05</v>
      </c>
      <c r="N70" s="39"/>
      <c r="O70" s="109"/>
      <c r="P70" s="103"/>
      <c r="Q70" s="110"/>
      <c r="R70" s="32"/>
      <c r="S70" s="32"/>
      <c r="T70" s="104">
        <f>T4*J70</f>
        <v>64.02000000000001</v>
      </c>
      <c r="U70" s="102"/>
      <c r="V70" s="14"/>
      <c r="W70" s="22">
        <f t="shared" ref="W70:W80" si="18">(V70*0.79)-L70</f>
        <v>0</v>
      </c>
      <c r="X70" s="22">
        <v>246.39</v>
      </c>
      <c r="Y70" s="12" t="s">
        <v>78</v>
      </c>
      <c r="Z70" s="11" t="s">
        <v>23</v>
      </c>
    </row>
    <row r="71" spans="1:26" x14ac:dyDescent="0.2">
      <c r="A71" s="52" t="s">
        <v>49</v>
      </c>
      <c r="B71" s="53">
        <v>12.17</v>
      </c>
      <c r="C71" s="53">
        <f t="shared" si="0"/>
        <v>1845.8238999999999</v>
      </c>
      <c r="D71" s="54">
        <v>44445</v>
      </c>
      <c r="E71" s="53">
        <v>35</v>
      </c>
      <c r="F71" s="57">
        <v>151.66999999999999</v>
      </c>
      <c r="G71" s="53">
        <f t="shared" si="1"/>
        <v>1820.04</v>
      </c>
      <c r="H71" s="26"/>
      <c r="I71" s="24"/>
      <c r="J71" s="24">
        <v>22</v>
      </c>
      <c r="K71" s="23"/>
      <c r="L71" s="112"/>
      <c r="M71" s="28" t="str">
        <f t="shared" si="16"/>
        <v>29,05</v>
      </c>
      <c r="N71" s="39"/>
      <c r="O71" s="109"/>
      <c r="P71" s="103"/>
      <c r="Q71" s="33"/>
      <c r="R71" s="32">
        <f t="shared" ref="R71:R98" si="19">IF(H71=1,0,$R$4*J71)</f>
        <v>136.4</v>
      </c>
      <c r="S71" s="32">
        <f t="shared" ref="S71:S98" si="20">IF(H71=1,0,$S$4*J71)</f>
        <v>187</v>
      </c>
      <c r="T71" s="104">
        <f>T4*J71</f>
        <v>64.02000000000001</v>
      </c>
      <c r="U71" s="36"/>
      <c r="V71" s="13"/>
      <c r="W71" s="22">
        <f t="shared" si="18"/>
        <v>0</v>
      </c>
      <c r="X71" s="22">
        <v>246.39</v>
      </c>
      <c r="Y71" s="12" t="s">
        <v>78</v>
      </c>
      <c r="Z71" s="11" t="s">
        <v>23</v>
      </c>
    </row>
    <row r="72" spans="1:26" x14ac:dyDescent="0.2">
      <c r="A72" s="58" t="s">
        <v>62</v>
      </c>
      <c r="B72" s="53">
        <v>12.51</v>
      </c>
      <c r="C72" s="53">
        <f t="shared" ref="C72:C90" si="21">B72*F72</f>
        <v>1897.3916999999999</v>
      </c>
      <c r="D72" s="54">
        <v>44375</v>
      </c>
      <c r="E72" s="53">
        <v>35</v>
      </c>
      <c r="F72" s="57">
        <v>151.66999999999999</v>
      </c>
      <c r="G72" s="53">
        <f t="shared" ref="G72:G90" si="22">F72*12</f>
        <v>1820.04</v>
      </c>
      <c r="H72" s="26"/>
      <c r="I72" s="24"/>
      <c r="J72" s="24">
        <v>22</v>
      </c>
      <c r="K72" s="23"/>
      <c r="L72" s="112"/>
      <c r="M72" s="28" t="str">
        <f t="shared" si="16"/>
        <v>29,05</v>
      </c>
      <c r="N72" s="39"/>
      <c r="O72" s="109"/>
      <c r="P72" s="103"/>
      <c r="Q72" s="33"/>
      <c r="R72" s="32">
        <f t="shared" si="19"/>
        <v>136.4</v>
      </c>
      <c r="S72" s="32">
        <f t="shared" si="20"/>
        <v>187</v>
      </c>
      <c r="T72" s="32">
        <f>T4*J72</f>
        <v>64.02000000000001</v>
      </c>
      <c r="U72" s="36"/>
      <c r="V72" s="13"/>
      <c r="W72" s="22">
        <f t="shared" si="18"/>
        <v>0</v>
      </c>
      <c r="X72" s="22">
        <v>246.39</v>
      </c>
      <c r="Y72" s="12" t="s">
        <v>78</v>
      </c>
      <c r="Z72" s="11" t="s">
        <v>23</v>
      </c>
    </row>
    <row r="73" spans="1:26" x14ac:dyDescent="0.2">
      <c r="A73" s="52" t="s">
        <v>61</v>
      </c>
      <c r="B73" s="53">
        <v>12.3</v>
      </c>
      <c r="C73" s="53">
        <f t="shared" si="21"/>
        <v>1865.5409999999999</v>
      </c>
      <c r="D73" s="54">
        <v>43472.041666666664</v>
      </c>
      <c r="E73" s="53">
        <v>35</v>
      </c>
      <c r="F73" s="57">
        <v>151.66999999999999</v>
      </c>
      <c r="G73" s="53">
        <f t="shared" si="22"/>
        <v>1820.04</v>
      </c>
      <c r="H73" s="26"/>
      <c r="I73" s="24"/>
      <c r="J73" s="24">
        <v>22</v>
      </c>
      <c r="K73" s="25"/>
      <c r="L73" s="112"/>
      <c r="M73" s="28" t="str">
        <f t="shared" si="16"/>
        <v>29,05</v>
      </c>
      <c r="N73" s="39"/>
      <c r="O73" s="109"/>
      <c r="P73" s="103"/>
      <c r="Q73" s="37"/>
      <c r="R73" s="32">
        <f t="shared" si="19"/>
        <v>136.4</v>
      </c>
      <c r="S73" s="32">
        <f t="shared" si="20"/>
        <v>187</v>
      </c>
      <c r="T73" s="32">
        <f>T4*J73</f>
        <v>64.02000000000001</v>
      </c>
      <c r="U73" s="36"/>
      <c r="V73" s="14"/>
      <c r="W73" s="22">
        <f t="shared" si="18"/>
        <v>0</v>
      </c>
      <c r="X73" s="22">
        <v>246.39</v>
      </c>
      <c r="Y73" s="12" t="s">
        <v>78</v>
      </c>
      <c r="Z73" s="11" t="s">
        <v>23</v>
      </c>
    </row>
    <row r="74" spans="1:26" x14ac:dyDescent="0.2">
      <c r="A74" s="52" t="s">
        <v>67</v>
      </c>
      <c r="B74" s="53">
        <v>13.72</v>
      </c>
      <c r="C74" s="53">
        <f t="shared" si="21"/>
        <v>2080.9123999999997</v>
      </c>
      <c r="D74" s="54">
        <v>42738.041666666664</v>
      </c>
      <c r="E74" s="53">
        <v>35</v>
      </c>
      <c r="F74" s="57">
        <v>151.66999999999999</v>
      </c>
      <c r="G74" s="53">
        <f t="shared" si="22"/>
        <v>1820.04</v>
      </c>
      <c r="H74" s="26"/>
      <c r="I74" s="24"/>
      <c r="J74" s="24">
        <v>22</v>
      </c>
      <c r="K74" s="25"/>
      <c r="L74" s="112"/>
      <c r="M74" s="28" t="str">
        <f t="shared" si="16"/>
        <v>29,05</v>
      </c>
      <c r="N74" s="39"/>
      <c r="O74" s="109"/>
      <c r="P74" s="103"/>
      <c r="Q74" s="37"/>
      <c r="R74" s="32">
        <f t="shared" si="19"/>
        <v>136.4</v>
      </c>
      <c r="S74" s="32">
        <f t="shared" si="20"/>
        <v>187</v>
      </c>
      <c r="T74" s="32">
        <f>T4*J74</f>
        <v>64.02000000000001</v>
      </c>
      <c r="U74" s="36"/>
      <c r="V74" s="14"/>
      <c r="W74" s="22">
        <f t="shared" si="18"/>
        <v>0</v>
      </c>
      <c r="X74" s="22">
        <v>246.39</v>
      </c>
      <c r="Y74" s="12" t="s">
        <v>78</v>
      </c>
      <c r="Z74" s="11" t="s">
        <v>23</v>
      </c>
    </row>
    <row r="75" spans="1:26" x14ac:dyDescent="0.2">
      <c r="A75" s="98" t="s">
        <v>63</v>
      </c>
      <c r="B75" s="97">
        <v>13.48</v>
      </c>
      <c r="C75" s="97">
        <f t="shared" si="21"/>
        <v>1431.1716000000001</v>
      </c>
      <c r="D75" s="100">
        <v>31575.083333333332</v>
      </c>
      <c r="E75" s="97">
        <v>24.5</v>
      </c>
      <c r="F75" s="101">
        <v>106.17</v>
      </c>
      <c r="G75" s="97">
        <f t="shared" si="22"/>
        <v>1274.04</v>
      </c>
      <c r="H75" s="26"/>
      <c r="I75" s="26"/>
      <c r="J75" s="24">
        <v>22</v>
      </c>
      <c r="K75" s="25"/>
      <c r="L75" s="17">
        <v>257.76</v>
      </c>
      <c r="M75" s="28" t="str">
        <f t="shared" si="16"/>
        <v>29,05</v>
      </c>
      <c r="N75" s="39"/>
      <c r="O75" s="107">
        <f>C75*0.06</f>
        <v>85.87029600000001</v>
      </c>
      <c r="P75" s="30">
        <v>228.54</v>
      </c>
      <c r="Q75" s="31">
        <f t="shared" ref="Q75:Q80" si="23">IF(H75=1,0,P75/F75*(F75-K75))</f>
        <v>228.53999999999996</v>
      </c>
      <c r="R75" s="32">
        <f t="shared" si="19"/>
        <v>136.4</v>
      </c>
      <c r="S75" s="32">
        <f t="shared" si="20"/>
        <v>187</v>
      </c>
      <c r="T75" s="32">
        <f>T4*J75</f>
        <v>64.02000000000001</v>
      </c>
      <c r="U75" s="36"/>
      <c r="V75" s="14">
        <v>1086.79</v>
      </c>
      <c r="W75" s="22">
        <f>(V75*1)-L75</f>
        <v>829.03</v>
      </c>
      <c r="X75" s="22">
        <v>257.76</v>
      </c>
      <c r="Y75" s="12" t="s">
        <v>9</v>
      </c>
      <c r="Z75" s="11" t="s">
        <v>23</v>
      </c>
    </row>
    <row r="76" spans="1:26" x14ac:dyDescent="0.2">
      <c r="A76" s="98" t="s">
        <v>74</v>
      </c>
      <c r="B76" s="97">
        <v>12.46</v>
      </c>
      <c r="C76" s="97">
        <f t="shared" si="21"/>
        <v>944.84180000000003</v>
      </c>
      <c r="D76" s="100">
        <v>39785.041666666664</v>
      </c>
      <c r="E76" s="97">
        <v>17.5</v>
      </c>
      <c r="F76" s="101">
        <v>75.83</v>
      </c>
      <c r="G76" s="97">
        <f t="shared" si="22"/>
        <v>909.96</v>
      </c>
      <c r="H76" s="26"/>
      <c r="I76" s="26"/>
      <c r="J76" s="24">
        <v>22</v>
      </c>
      <c r="K76" s="25"/>
      <c r="L76" s="17">
        <v>123.2</v>
      </c>
      <c r="M76" s="28">
        <f t="shared" si="16"/>
        <v>14.524042328740029</v>
      </c>
      <c r="N76" s="39"/>
      <c r="O76" s="107">
        <f>C76*0.05</f>
        <v>47.242090000000005</v>
      </c>
      <c r="P76" s="30">
        <v>107.28</v>
      </c>
      <c r="Q76" s="34">
        <f t="shared" si="23"/>
        <v>107.28</v>
      </c>
      <c r="R76" s="32">
        <f t="shared" si="19"/>
        <v>136.4</v>
      </c>
      <c r="S76" s="32">
        <f t="shared" si="20"/>
        <v>187</v>
      </c>
      <c r="T76" s="32">
        <f>T4*J76</f>
        <v>64.02000000000001</v>
      </c>
      <c r="U76" s="36"/>
      <c r="V76" s="13">
        <v>1086.79</v>
      </c>
      <c r="W76" s="22">
        <f>(V76*0.5)-L76</f>
        <v>420.19499999999999</v>
      </c>
      <c r="X76" s="22">
        <v>123.2</v>
      </c>
      <c r="Y76" s="12" t="s">
        <v>78</v>
      </c>
      <c r="Z76" s="11" t="s">
        <v>23</v>
      </c>
    </row>
    <row r="77" spans="1:26" x14ac:dyDescent="0.2">
      <c r="A77" s="52" t="s">
        <v>72</v>
      </c>
      <c r="B77" s="53">
        <v>14.79</v>
      </c>
      <c r="C77" s="53">
        <f t="shared" si="21"/>
        <v>2243.1992999999998</v>
      </c>
      <c r="D77" s="54">
        <v>35142.041666666664</v>
      </c>
      <c r="E77" s="53">
        <v>35</v>
      </c>
      <c r="F77" s="57">
        <v>151.66999999999999</v>
      </c>
      <c r="G77" s="53">
        <f t="shared" si="22"/>
        <v>1820.04</v>
      </c>
      <c r="H77" s="26"/>
      <c r="I77" s="26"/>
      <c r="J77" s="24">
        <v>22</v>
      </c>
      <c r="K77" s="25"/>
      <c r="L77" s="17">
        <v>368</v>
      </c>
      <c r="M77" s="28" t="str">
        <f t="shared" si="16"/>
        <v>29,05</v>
      </c>
      <c r="N77" s="39"/>
      <c r="O77" s="107">
        <f>C77*0.06</f>
        <v>134.59195799999998</v>
      </c>
      <c r="P77" s="30">
        <v>46.59</v>
      </c>
      <c r="Q77" s="31">
        <f t="shared" si="23"/>
        <v>46.59</v>
      </c>
      <c r="R77" s="32">
        <f t="shared" si="19"/>
        <v>136.4</v>
      </c>
      <c r="S77" s="32">
        <f t="shared" si="20"/>
        <v>187</v>
      </c>
      <c r="T77" s="32">
        <f>T4*J77</f>
        <v>64.02000000000001</v>
      </c>
      <c r="U77" s="35"/>
      <c r="V77" s="13">
        <v>1400</v>
      </c>
      <c r="W77" s="22">
        <f>(V77*1)-L77</f>
        <v>1032</v>
      </c>
      <c r="X77" s="22">
        <v>368</v>
      </c>
      <c r="Y77" s="12" t="s">
        <v>9</v>
      </c>
      <c r="Z77" s="11" t="s">
        <v>23</v>
      </c>
    </row>
    <row r="78" spans="1:26" x14ac:dyDescent="0.2">
      <c r="A78" s="52" t="s">
        <v>61</v>
      </c>
      <c r="B78" s="53">
        <v>12.3</v>
      </c>
      <c r="C78" s="53">
        <f t="shared" si="21"/>
        <v>1865.5409999999999</v>
      </c>
      <c r="D78" s="54">
        <v>36342.083333333336</v>
      </c>
      <c r="E78" s="53">
        <v>35</v>
      </c>
      <c r="F78" s="57">
        <v>151.66999999999999</v>
      </c>
      <c r="G78" s="53">
        <f t="shared" si="22"/>
        <v>1820.04</v>
      </c>
      <c r="H78" s="26"/>
      <c r="I78" s="26"/>
      <c r="J78" s="24">
        <v>22</v>
      </c>
      <c r="K78" s="25"/>
      <c r="L78" s="17">
        <v>368</v>
      </c>
      <c r="M78" s="28" t="str">
        <f t="shared" si="16"/>
        <v>29,05</v>
      </c>
      <c r="N78" s="38">
        <v>150</v>
      </c>
      <c r="O78" s="107">
        <f>C78*0.06</f>
        <v>111.93245999999999</v>
      </c>
      <c r="P78" s="30">
        <v>46.59</v>
      </c>
      <c r="Q78" s="31">
        <f t="shared" si="23"/>
        <v>46.59</v>
      </c>
      <c r="R78" s="32">
        <f t="shared" si="19"/>
        <v>136.4</v>
      </c>
      <c r="S78" s="32">
        <f t="shared" si="20"/>
        <v>187</v>
      </c>
      <c r="T78" s="32">
        <f>T4*J78</f>
        <v>64.02000000000001</v>
      </c>
      <c r="U78" s="35"/>
      <c r="V78" s="13">
        <v>1400</v>
      </c>
      <c r="W78" s="22">
        <f t="shared" ref="W78:W79" si="24">(V78*1)-L78</f>
        <v>1032</v>
      </c>
      <c r="X78" s="22">
        <v>368</v>
      </c>
      <c r="Y78" s="12" t="s">
        <v>9</v>
      </c>
      <c r="Z78" s="11" t="s">
        <v>23</v>
      </c>
    </row>
    <row r="79" spans="1:26" x14ac:dyDescent="0.2">
      <c r="A79" s="52" t="s">
        <v>54</v>
      </c>
      <c r="B79" s="53">
        <v>12.75</v>
      </c>
      <c r="C79" s="53">
        <f t="shared" si="21"/>
        <v>1933.7924999999998</v>
      </c>
      <c r="D79" s="54">
        <v>32148.041666666668</v>
      </c>
      <c r="E79" s="53">
        <v>35</v>
      </c>
      <c r="F79" s="57">
        <v>151.66999999999999</v>
      </c>
      <c r="G79" s="53">
        <f t="shared" si="22"/>
        <v>1820.04</v>
      </c>
      <c r="H79" s="26"/>
      <c r="I79" s="26"/>
      <c r="J79" s="24">
        <v>22</v>
      </c>
      <c r="K79" s="25"/>
      <c r="L79" s="17">
        <v>368</v>
      </c>
      <c r="M79" s="28" t="str">
        <f t="shared" si="16"/>
        <v>29,05</v>
      </c>
      <c r="N79" s="39"/>
      <c r="O79" s="107">
        <f>C79*0.06</f>
        <v>116.02754999999998</v>
      </c>
      <c r="P79" s="30">
        <v>46.59</v>
      </c>
      <c r="Q79" s="31">
        <f t="shared" si="23"/>
        <v>46.59</v>
      </c>
      <c r="R79" s="32">
        <f t="shared" si="19"/>
        <v>136.4</v>
      </c>
      <c r="S79" s="32">
        <f t="shared" si="20"/>
        <v>187</v>
      </c>
      <c r="T79" s="32">
        <f>T4*J79</f>
        <v>64.02000000000001</v>
      </c>
      <c r="U79" s="35"/>
      <c r="V79" s="13">
        <v>1400</v>
      </c>
      <c r="W79" s="22">
        <f t="shared" si="24"/>
        <v>1032</v>
      </c>
      <c r="X79" s="22">
        <v>368</v>
      </c>
      <c r="Y79" s="12" t="s">
        <v>9</v>
      </c>
      <c r="Z79" s="11" t="s">
        <v>23</v>
      </c>
    </row>
    <row r="80" spans="1:26" x14ac:dyDescent="0.2">
      <c r="A80" s="52" t="s">
        <v>58</v>
      </c>
      <c r="B80" s="53">
        <v>14.79</v>
      </c>
      <c r="C80" s="53">
        <f t="shared" si="21"/>
        <v>2243.1992999999998</v>
      </c>
      <c r="D80" s="54">
        <v>39174.083333333336</v>
      </c>
      <c r="E80" s="53">
        <v>35</v>
      </c>
      <c r="F80" s="57">
        <v>151.66999999999999</v>
      </c>
      <c r="G80" s="53">
        <f t="shared" si="22"/>
        <v>1820.04</v>
      </c>
      <c r="H80" s="26"/>
      <c r="I80" s="26"/>
      <c r="J80" s="24">
        <v>22</v>
      </c>
      <c r="K80" s="25"/>
      <c r="L80" s="112"/>
      <c r="M80" s="28" t="str">
        <f t="shared" si="16"/>
        <v>29,05</v>
      </c>
      <c r="N80" s="39"/>
      <c r="O80" s="107">
        <f>C80*0.055</f>
        <v>123.37596149999999</v>
      </c>
      <c r="P80" s="30">
        <v>107.28</v>
      </c>
      <c r="Q80" s="31">
        <f t="shared" si="23"/>
        <v>107.28</v>
      </c>
      <c r="R80" s="32">
        <f t="shared" si="19"/>
        <v>136.4</v>
      </c>
      <c r="S80" s="32">
        <f t="shared" si="20"/>
        <v>187</v>
      </c>
      <c r="T80" s="32">
        <f t="shared" ref="T80:T88" si="25">T4*J80</f>
        <v>64.02000000000001</v>
      </c>
      <c r="U80" s="35"/>
      <c r="V80" s="13"/>
      <c r="W80" s="22">
        <f t="shared" si="18"/>
        <v>0</v>
      </c>
      <c r="X80" s="22">
        <v>246.39</v>
      </c>
      <c r="Y80" s="12" t="s">
        <v>78</v>
      </c>
      <c r="Z80" s="11" t="s">
        <v>23</v>
      </c>
    </row>
    <row r="81" spans="1:26" x14ac:dyDescent="0.2">
      <c r="A81" s="52" t="s">
        <v>68</v>
      </c>
      <c r="B81" s="53">
        <v>12.13</v>
      </c>
      <c r="C81" s="53">
        <f t="shared" si="21"/>
        <v>1839.7571</v>
      </c>
      <c r="D81" s="54"/>
      <c r="E81" s="53">
        <v>35</v>
      </c>
      <c r="F81" s="57">
        <v>151.66999999999999</v>
      </c>
      <c r="G81" s="53">
        <f t="shared" si="22"/>
        <v>1820.04</v>
      </c>
      <c r="H81" s="26"/>
      <c r="I81" s="26"/>
      <c r="J81" s="24">
        <v>22</v>
      </c>
      <c r="K81" s="25"/>
      <c r="L81" s="114"/>
      <c r="M81" s="28" t="str">
        <f t="shared" si="16"/>
        <v>29,05</v>
      </c>
      <c r="N81" s="39"/>
      <c r="O81" s="107"/>
      <c r="P81" s="30"/>
      <c r="Q81" s="113"/>
      <c r="R81" s="32">
        <f t="shared" si="19"/>
        <v>136.4</v>
      </c>
      <c r="S81" s="32">
        <f t="shared" si="20"/>
        <v>187</v>
      </c>
      <c r="T81" s="32">
        <f t="shared" si="25"/>
        <v>0</v>
      </c>
      <c r="U81" s="35"/>
      <c r="V81" s="13"/>
      <c r="W81" s="115"/>
      <c r="X81" s="115"/>
      <c r="Y81" s="116"/>
      <c r="Z81" s="117"/>
    </row>
    <row r="82" spans="1:26" x14ac:dyDescent="0.2">
      <c r="A82" s="52" t="s">
        <v>68</v>
      </c>
      <c r="B82" s="53">
        <v>12.13</v>
      </c>
      <c r="C82" s="53">
        <f t="shared" si="21"/>
        <v>1839.7571</v>
      </c>
      <c r="D82" s="54"/>
      <c r="E82" s="53">
        <v>35</v>
      </c>
      <c r="F82" s="57">
        <v>151.66999999999999</v>
      </c>
      <c r="G82" s="53">
        <f t="shared" si="22"/>
        <v>1820.04</v>
      </c>
      <c r="H82" s="26"/>
      <c r="I82" s="26"/>
      <c r="J82" s="24">
        <v>22</v>
      </c>
      <c r="K82" s="25"/>
      <c r="L82" s="114"/>
      <c r="M82" s="28" t="str">
        <f t="shared" si="16"/>
        <v>29,05</v>
      </c>
      <c r="N82" s="39"/>
      <c r="O82" s="107"/>
      <c r="P82" s="30"/>
      <c r="Q82" s="113"/>
      <c r="R82" s="32">
        <f t="shared" si="19"/>
        <v>136.4</v>
      </c>
      <c r="S82" s="32">
        <f t="shared" si="20"/>
        <v>187</v>
      </c>
      <c r="T82" s="32">
        <f t="shared" si="25"/>
        <v>1408.4400000000003</v>
      </c>
      <c r="U82" s="35"/>
      <c r="V82" s="13"/>
      <c r="W82" s="115"/>
      <c r="X82" s="115"/>
      <c r="Y82" s="116"/>
      <c r="Z82" s="117"/>
    </row>
    <row r="83" spans="1:26" x14ac:dyDescent="0.2">
      <c r="A83" s="52" t="s">
        <v>68</v>
      </c>
      <c r="B83" s="53">
        <v>12.13</v>
      </c>
      <c r="C83" s="53">
        <f t="shared" si="21"/>
        <v>1839.7571</v>
      </c>
      <c r="D83" s="54"/>
      <c r="E83" s="53">
        <v>35</v>
      </c>
      <c r="F83" s="57">
        <v>151.66999999999999</v>
      </c>
      <c r="G83" s="53">
        <f t="shared" si="22"/>
        <v>1820.04</v>
      </c>
      <c r="H83" s="26"/>
      <c r="I83" s="26"/>
      <c r="J83" s="24">
        <v>22</v>
      </c>
      <c r="K83" s="25"/>
      <c r="L83" s="114"/>
      <c r="M83" s="28" t="str">
        <f t="shared" si="16"/>
        <v>29,05</v>
      </c>
      <c r="N83" s="39"/>
      <c r="O83" s="107"/>
      <c r="P83" s="30"/>
      <c r="Q83" s="113"/>
      <c r="R83" s="32">
        <f t="shared" si="19"/>
        <v>136.4</v>
      </c>
      <c r="S83" s="32">
        <f t="shared" si="20"/>
        <v>187</v>
      </c>
      <c r="T83" s="32">
        <f t="shared" si="25"/>
        <v>1408.4400000000003</v>
      </c>
      <c r="U83" s="35"/>
      <c r="V83" s="13"/>
      <c r="W83" s="115"/>
      <c r="X83" s="115"/>
      <c r="Y83" s="116"/>
      <c r="Z83" s="117"/>
    </row>
    <row r="84" spans="1:26" x14ac:dyDescent="0.2">
      <c r="A84" s="52" t="s">
        <v>68</v>
      </c>
      <c r="B84" s="53">
        <v>12.13</v>
      </c>
      <c r="C84" s="53">
        <f t="shared" si="21"/>
        <v>1839.7571</v>
      </c>
      <c r="D84" s="54"/>
      <c r="E84" s="53">
        <v>35</v>
      </c>
      <c r="F84" s="57">
        <v>151.66999999999999</v>
      </c>
      <c r="G84" s="53">
        <f t="shared" si="22"/>
        <v>1820.04</v>
      </c>
      <c r="H84" s="26"/>
      <c r="I84" s="26"/>
      <c r="J84" s="24">
        <v>22</v>
      </c>
      <c r="K84" s="25"/>
      <c r="L84" s="114"/>
      <c r="M84" s="28" t="str">
        <f t="shared" si="16"/>
        <v>29,05</v>
      </c>
      <c r="N84" s="39"/>
      <c r="O84" s="107"/>
      <c r="P84" s="30"/>
      <c r="Q84" s="113"/>
      <c r="R84" s="32">
        <f t="shared" si="19"/>
        <v>136.4</v>
      </c>
      <c r="S84" s="32">
        <f t="shared" si="20"/>
        <v>187</v>
      </c>
      <c r="T84" s="32">
        <f t="shared" si="25"/>
        <v>1408.4400000000003</v>
      </c>
      <c r="U84" s="35"/>
      <c r="V84" s="13"/>
      <c r="W84" s="115"/>
      <c r="X84" s="115"/>
      <c r="Y84" s="116"/>
      <c r="Z84" s="117"/>
    </row>
    <row r="85" spans="1:26" x14ac:dyDescent="0.2">
      <c r="A85" s="52" t="s">
        <v>68</v>
      </c>
      <c r="B85" s="53">
        <v>12.13</v>
      </c>
      <c r="C85" s="53">
        <f t="shared" si="21"/>
        <v>1839.7571</v>
      </c>
      <c r="D85" s="54"/>
      <c r="E85" s="53">
        <v>35</v>
      </c>
      <c r="F85" s="57">
        <v>151.66999999999999</v>
      </c>
      <c r="G85" s="53">
        <f t="shared" si="22"/>
        <v>1820.04</v>
      </c>
      <c r="H85" s="26"/>
      <c r="I85" s="26"/>
      <c r="J85" s="24">
        <v>22</v>
      </c>
      <c r="K85" s="25"/>
      <c r="L85" s="114"/>
      <c r="M85" s="28" t="str">
        <f t="shared" si="16"/>
        <v>29,05</v>
      </c>
      <c r="N85" s="39"/>
      <c r="O85" s="107"/>
      <c r="P85" s="30"/>
      <c r="Q85" s="113"/>
      <c r="R85" s="32">
        <f t="shared" si="19"/>
        <v>136.4</v>
      </c>
      <c r="S85" s="32">
        <f t="shared" si="20"/>
        <v>187</v>
      </c>
      <c r="T85" s="32">
        <f t="shared" si="25"/>
        <v>1408.4400000000003</v>
      </c>
      <c r="U85" s="35"/>
      <c r="V85" s="13"/>
      <c r="W85" s="115"/>
      <c r="X85" s="115"/>
      <c r="Y85" s="116"/>
      <c r="Z85" s="117"/>
    </row>
    <row r="86" spans="1:26" x14ac:dyDescent="0.2">
      <c r="A86" s="52" t="s">
        <v>68</v>
      </c>
      <c r="B86" s="53">
        <v>12.13</v>
      </c>
      <c r="C86" s="53">
        <f t="shared" si="21"/>
        <v>1839.7571</v>
      </c>
      <c r="D86" s="54"/>
      <c r="E86" s="53">
        <v>35</v>
      </c>
      <c r="F86" s="57">
        <v>151.66999999999999</v>
      </c>
      <c r="G86" s="53">
        <f t="shared" si="22"/>
        <v>1820.04</v>
      </c>
      <c r="H86" s="26"/>
      <c r="I86" s="26"/>
      <c r="J86" s="24">
        <v>22</v>
      </c>
      <c r="K86" s="25"/>
      <c r="L86" s="114"/>
      <c r="M86" s="28" t="str">
        <f t="shared" si="16"/>
        <v>29,05</v>
      </c>
      <c r="N86" s="39"/>
      <c r="O86" s="107"/>
      <c r="P86" s="30"/>
      <c r="Q86" s="113"/>
      <c r="R86" s="32">
        <f t="shared" si="19"/>
        <v>136.4</v>
      </c>
      <c r="S86" s="32">
        <f t="shared" si="20"/>
        <v>187</v>
      </c>
      <c r="T86" s="32">
        <f t="shared" si="25"/>
        <v>0</v>
      </c>
      <c r="U86" s="35"/>
      <c r="V86" s="13"/>
      <c r="W86" s="115"/>
      <c r="X86" s="115"/>
      <c r="Y86" s="116"/>
      <c r="Z86" s="117"/>
    </row>
    <row r="87" spans="1:26" x14ac:dyDescent="0.2">
      <c r="A87" s="52" t="s">
        <v>68</v>
      </c>
      <c r="B87" s="53">
        <v>12.13</v>
      </c>
      <c r="C87" s="53">
        <f t="shared" si="21"/>
        <v>1839.7571</v>
      </c>
      <c r="D87" s="54"/>
      <c r="E87" s="53">
        <v>35</v>
      </c>
      <c r="F87" s="57">
        <v>151.66999999999999</v>
      </c>
      <c r="G87" s="53">
        <f t="shared" si="22"/>
        <v>1820.04</v>
      </c>
      <c r="H87" s="26"/>
      <c r="I87" s="26"/>
      <c r="J87" s="24">
        <v>22</v>
      </c>
      <c r="K87" s="25"/>
      <c r="L87" s="114"/>
      <c r="M87" s="28" t="str">
        <f t="shared" si="16"/>
        <v>29,05</v>
      </c>
      <c r="N87" s="39"/>
      <c r="O87" s="107"/>
      <c r="P87" s="30"/>
      <c r="Q87" s="113"/>
      <c r="R87" s="32">
        <f t="shared" si="19"/>
        <v>136.4</v>
      </c>
      <c r="S87" s="32">
        <f t="shared" si="20"/>
        <v>187</v>
      </c>
      <c r="T87" s="32">
        <f t="shared" si="25"/>
        <v>1408.4400000000003</v>
      </c>
      <c r="U87" s="35"/>
      <c r="V87" s="13"/>
      <c r="W87" s="115"/>
      <c r="X87" s="115"/>
      <c r="Y87" s="116"/>
      <c r="Z87" s="117"/>
    </row>
    <row r="88" spans="1:26" x14ac:dyDescent="0.2">
      <c r="A88" s="52" t="s">
        <v>68</v>
      </c>
      <c r="B88" s="53">
        <v>12.13</v>
      </c>
      <c r="C88" s="53">
        <f t="shared" si="21"/>
        <v>1839.7571</v>
      </c>
      <c r="D88" s="54"/>
      <c r="E88" s="53">
        <v>35</v>
      </c>
      <c r="F88" s="57">
        <v>151.66999999999999</v>
      </c>
      <c r="G88" s="53">
        <f t="shared" si="22"/>
        <v>1820.04</v>
      </c>
      <c r="H88" s="26"/>
      <c r="I88" s="26"/>
      <c r="J88" s="24">
        <v>22</v>
      </c>
      <c r="K88" s="25"/>
      <c r="L88" s="114"/>
      <c r="M88" s="28" t="str">
        <f t="shared" si="16"/>
        <v>29,05</v>
      </c>
      <c r="N88" s="39"/>
      <c r="O88" s="107"/>
      <c r="P88" s="30"/>
      <c r="Q88" s="113"/>
      <c r="R88" s="32">
        <f t="shared" si="19"/>
        <v>136.4</v>
      </c>
      <c r="S88" s="32">
        <f t="shared" si="20"/>
        <v>187</v>
      </c>
      <c r="T88" s="32">
        <f t="shared" si="25"/>
        <v>1408.4400000000003</v>
      </c>
      <c r="U88" s="35"/>
      <c r="V88" s="13"/>
      <c r="W88" s="115"/>
      <c r="X88" s="115"/>
      <c r="Y88" s="116"/>
      <c r="Z88" s="117"/>
    </row>
    <row r="89" spans="1:26" x14ac:dyDescent="0.2">
      <c r="A89" s="52" t="s">
        <v>68</v>
      </c>
      <c r="B89" s="53">
        <v>12.13</v>
      </c>
      <c r="C89" s="53">
        <f t="shared" ref="C89" si="26">B89*F89</f>
        <v>1839.7571</v>
      </c>
      <c r="D89" s="54"/>
      <c r="E89" s="53">
        <v>35</v>
      </c>
      <c r="F89" s="57">
        <v>151.66999999999999</v>
      </c>
      <c r="G89" s="53">
        <f t="shared" ref="G89" si="27">F89*12</f>
        <v>1820.04</v>
      </c>
      <c r="H89" s="26"/>
      <c r="I89" s="26"/>
      <c r="J89" s="24">
        <v>22</v>
      </c>
      <c r="K89" s="25"/>
      <c r="L89" s="114"/>
      <c r="M89" s="28" t="str">
        <f t="shared" si="16"/>
        <v>29,05</v>
      </c>
      <c r="N89" s="39"/>
      <c r="O89" s="107"/>
      <c r="P89" s="30"/>
      <c r="Q89" s="113"/>
      <c r="R89" s="32">
        <f t="shared" si="19"/>
        <v>136.4</v>
      </c>
      <c r="S89" s="32">
        <f t="shared" si="20"/>
        <v>187</v>
      </c>
      <c r="T89" s="32">
        <f t="shared" ref="T89:T98" si="28">T12*J89</f>
        <v>1408.4400000000003</v>
      </c>
      <c r="U89" s="35"/>
      <c r="V89" s="13"/>
      <c r="W89" s="115"/>
      <c r="X89" s="115"/>
      <c r="Y89" s="116"/>
      <c r="Z89" s="117"/>
    </row>
    <row r="90" spans="1:26" x14ac:dyDescent="0.2">
      <c r="A90" s="52" t="s">
        <v>68</v>
      </c>
      <c r="B90" s="53">
        <v>12.13</v>
      </c>
      <c r="C90" s="53">
        <f t="shared" si="21"/>
        <v>1839.7571</v>
      </c>
      <c r="D90" s="54"/>
      <c r="E90" s="53">
        <v>35</v>
      </c>
      <c r="F90" s="57">
        <v>151.66999999999999</v>
      </c>
      <c r="G90" s="53">
        <f t="shared" si="22"/>
        <v>1820.04</v>
      </c>
      <c r="H90" s="26"/>
      <c r="I90" s="26"/>
      <c r="J90" s="24">
        <v>22</v>
      </c>
      <c r="K90" s="25"/>
      <c r="L90" s="114"/>
      <c r="M90" s="28" t="str">
        <f t="shared" si="16"/>
        <v>29,05</v>
      </c>
      <c r="N90" s="39"/>
      <c r="O90" s="107"/>
      <c r="P90" s="30"/>
      <c r="Q90" s="113"/>
      <c r="R90" s="32">
        <f t="shared" si="19"/>
        <v>136.4</v>
      </c>
      <c r="S90" s="32">
        <f t="shared" si="20"/>
        <v>187</v>
      </c>
      <c r="T90" s="32">
        <f t="shared" si="28"/>
        <v>1408.4400000000003</v>
      </c>
      <c r="U90" s="35"/>
      <c r="V90" s="13"/>
      <c r="W90" s="115"/>
      <c r="X90" s="115"/>
      <c r="Y90" s="116"/>
      <c r="Z90" s="117"/>
    </row>
    <row r="91" spans="1:26" x14ac:dyDescent="0.2">
      <c r="A91" s="52" t="s">
        <v>68</v>
      </c>
      <c r="B91" s="53">
        <v>12.13</v>
      </c>
      <c r="C91" s="53">
        <f t="shared" ref="C91" si="29">B91*F91</f>
        <v>1839.7571</v>
      </c>
      <c r="D91" s="54"/>
      <c r="E91" s="53">
        <v>35</v>
      </c>
      <c r="F91" s="57">
        <v>151.66999999999999</v>
      </c>
      <c r="G91" s="53">
        <f t="shared" ref="G91" si="30">F91*12</f>
        <v>1820.04</v>
      </c>
      <c r="H91" s="26"/>
      <c r="I91" s="26"/>
      <c r="J91" s="24">
        <v>22</v>
      </c>
      <c r="K91" s="25"/>
      <c r="L91" s="114"/>
      <c r="M91" s="28" t="str">
        <f t="shared" si="16"/>
        <v>29,05</v>
      </c>
      <c r="N91" s="39"/>
      <c r="O91" s="107"/>
      <c r="P91" s="30"/>
      <c r="Q91" s="113"/>
      <c r="R91" s="32">
        <f t="shared" si="19"/>
        <v>136.4</v>
      </c>
      <c r="S91" s="32">
        <f t="shared" si="20"/>
        <v>187</v>
      </c>
      <c r="T91" s="32">
        <f t="shared" si="28"/>
        <v>1408.4400000000003</v>
      </c>
      <c r="U91" s="35"/>
      <c r="V91" s="13"/>
      <c r="W91" s="115"/>
      <c r="X91" s="115"/>
      <c r="Y91" s="116"/>
      <c r="Z91" s="117"/>
    </row>
    <row r="92" spans="1:26" x14ac:dyDescent="0.2">
      <c r="A92" s="52" t="s">
        <v>68</v>
      </c>
      <c r="B92" s="53">
        <v>12.13</v>
      </c>
      <c r="C92" s="53">
        <f t="shared" ref="C92" si="31">B92*F92</f>
        <v>1839.7571</v>
      </c>
      <c r="D92" s="54"/>
      <c r="E92" s="53">
        <v>35</v>
      </c>
      <c r="F92" s="57">
        <v>151.66999999999999</v>
      </c>
      <c r="G92" s="53">
        <f t="shared" ref="G92" si="32">F92*12</f>
        <v>1820.04</v>
      </c>
      <c r="H92" s="26"/>
      <c r="I92" s="26"/>
      <c r="J92" s="24">
        <v>22</v>
      </c>
      <c r="K92" s="25"/>
      <c r="L92" s="114"/>
      <c r="M92" s="28" t="str">
        <f t="shared" si="16"/>
        <v>29,05</v>
      </c>
      <c r="N92" s="39"/>
      <c r="O92" s="107"/>
      <c r="P92" s="30"/>
      <c r="Q92" s="113"/>
      <c r="R92" s="32">
        <f t="shared" si="19"/>
        <v>136.4</v>
      </c>
      <c r="S92" s="32">
        <f t="shared" si="20"/>
        <v>187</v>
      </c>
      <c r="T92" s="32">
        <f t="shared" si="28"/>
        <v>1408.4400000000003</v>
      </c>
      <c r="U92" s="35"/>
      <c r="V92" s="13"/>
      <c r="W92" s="115"/>
      <c r="X92" s="115"/>
      <c r="Y92" s="116"/>
      <c r="Z92" s="117"/>
    </row>
    <row r="93" spans="1:26" x14ac:dyDescent="0.2">
      <c r="A93" s="52" t="s">
        <v>68</v>
      </c>
      <c r="B93" s="53">
        <v>12.13</v>
      </c>
      <c r="C93" s="53">
        <f t="shared" ref="C93" si="33">B93*F93</f>
        <v>1839.7571</v>
      </c>
      <c r="D93" s="54"/>
      <c r="E93" s="53">
        <v>35</v>
      </c>
      <c r="F93" s="57">
        <v>151.66999999999999</v>
      </c>
      <c r="G93" s="53">
        <f t="shared" ref="G93" si="34">F93*12</f>
        <v>1820.04</v>
      </c>
      <c r="H93" s="26"/>
      <c r="I93" s="26"/>
      <c r="J93" s="24">
        <v>22</v>
      </c>
      <c r="K93" s="25"/>
      <c r="L93" s="114"/>
      <c r="M93" s="28" t="str">
        <f t="shared" si="16"/>
        <v>29,05</v>
      </c>
      <c r="N93" s="39"/>
      <c r="O93" s="107"/>
      <c r="P93" s="30"/>
      <c r="Q93" s="113"/>
      <c r="R93" s="32">
        <f t="shared" si="19"/>
        <v>136.4</v>
      </c>
      <c r="S93" s="32">
        <f t="shared" si="20"/>
        <v>187</v>
      </c>
      <c r="T93" s="32">
        <f t="shared" si="28"/>
        <v>0</v>
      </c>
      <c r="U93" s="35"/>
      <c r="V93" s="13"/>
      <c r="W93" s="115"/>
      <c r="X93" s="115"/>
      <c r="Y93" s="116"/>
      <c r="Z93" s="117"/>
    </row>
    <row r="94" spans="1:26" x14ac:dyDescent="0.2">
      <c r="A94" s="52" t="s">
        <v>68</v>
      </c>
      <c r="B94" s="53">
        <v>12.13</v>
      </c>
      <c r="C94" s="53">
        <f t="shared" ref="C94" si="35">B94*F94</f>
        <v>1839.7571</v>
      </c>
      <c r="D94" s="54"/>
      <c r="E94" s="53">
        <v>35</v>
      </c>
      <c r="F94" s="57">
        <v>151.66999999999999</v>
      </c>
      <c r="G94" s="53">
        <f t="shared" ref="G94" si="36">F94*12</f>
        <v>1820.04</v>
      </c>
      <c r="H94" s="26"/>
      <c r="I94" s="26"/>
      <c r="J94" s="24">
        <v>22</v>
      </c>
      <c r="K94" s="25"/>
      <c r="L94" s="114"/>
      <c r="M94" s="28" t="str">
        <f t="shared" si="16"/>
        <v>29,05</v>
      </c>
      <c r="N94" s="39"/>
      <c r="O94" s="107"/>
      <c r="P94" s="30"/>
      <c r="Q94" s="113"/>
      <c r="R94" s="32">
        <f t="shared" si="19"/>
        <v>136.4</v>
      </c>
      <c r="S94" s="32">
        <f t="shared" si="20"/>
        <v>187</v>
      </c>
      <c r="T94" s="32">
        <f t="shared" si="28"/>
        <v>1408.4400000000003</v>
      </c>
      <c r="U94" s="35"/>
      <c r="V94" s="13"/>
      <c r="W94" s="115"/>
      <c r="X94" s="115"/>
      <c r="Y94" s="116"/>
      <c r="Z94" s="117"/>
    </row>
    <row r="95" spans="1:26" x14ac:dyDescent="0.2">
      <c r="A95" s="52" t="s">
        <v>68</v>
      </c>
      <c r="B95" s="53">
        <v>12.13</v>
      </c>
      <c r="C95" s="53">
        <f t="shared" ref="C95" si="37">B95*F95</f>
        <v>1839.7571</v>
      </c>
      <c r="D95" s="54"/>
      <c r="E95" s="53">
        <v>35</v>
      </c>
      <c r="F95" s="57">
        <v>151.66999999999999</v>
      </c>
      <c r="G95" s="53">
        <f t="shared" ref="G95" si="38">F95*12</f>
        <v>1820.04</v>
      </c>
      <c r="H95" s="26"/>
      <c r="I95" s="26"/>
      <c r="J95" s="24">
        <v>22</v>
      </c>
      <c r="K95" s="25"/>
      <c r="L95" s="114"/>
      <c r="M95" s="28" t="str">
        <f t="shared" si="16"/>
        <v>29,05</v>
      </c>
      <c r="N95" s="39"/>
      <c r="O95" s="107"/>
      <c r="P95" s="30"/>
      <c r="Q95" s="113"/>
      <c r="R95" s="32">
        <f t="shared" si="19"/>
        <v>136.4</v>
      </c>
      <c r="S95" s="32">
        <f t="shared" si="20"/>
        <v>187</v>
      </c>
      <c r="T95" s="32">
        <f t="shared" si="28"/>
        <v>1408.4400000000003</v>
      </c>
      <c r="U95" s="35"/>
      <c r="V95" s="13"/>
      <c r="W95" s="115"/>
      <c r="X95" s="115"/>
      <c r="Y95" s="116"/>
      <c r="Z95" s="117"/>
    </row>
    <row r="96" spans="1:26" x14ac:dyDescent="0.2">
      <c r="A96" s="52" t="s">
        <v>68</v>
      </c>
      <c r="B96" s="53">
        <v>12.13</v>
      </c>
      <c r="C96" s="53">
        <f t="shared" ref="C96" si="39">B96*F96</f>
        <v>1839.7571</v>
      </c>
      <c r="D96" s="54"/>
      <c r="E96" s="53">
        <v>35</v>
      </c>
      <c r="F96" s="57">
        <v>151.66999999999999</v>
      </c>
      <c r="G96" s="53">
        <f t="shared" ref="G96" si="40">F96*12</f>
        <v>1820.04</v>
      </c>
      <c r="H96" s="26"/>
      <c r="I96" s="26"/>
      <c r="J96" s="24">
        <v>22</v>
      </c>
      <c r="K96" s="25"/>
      <c r="L96" s="114"/>
      <c r="M96" s="28" t="str">
        <f t="shared" si="16"/>
        <v>29,05</v>
      </c>
      <c r="N96" s="39"/>
      <c r="O96" s="107"/>
      <c r="P96" s="30"/>
      <c r="Q96" s="113"/>
      <c r="R96" s="32">
        <f t="shared" si="19"/>
        <v>136.4</v>
      </c>
      <c r="S96" s="32">
        <f t="shared" si="20"/>
        <v>187</v>
      </c>
      <c r="T96" s="32">
        <f t="shared" si="28"/>
        <v>1408.4400000000003</v>
      </c>
      <c r="U96" s="35"/>
      <c r="V96" s="13"/>
      <c r="W96" s="115"/>
      <c r="X96" s="115"/>
      <c r="Y96" s="116"/>
      <c r="Z96" s="117"/>
    </row>
    <row r="97" spans="1:26" x14ac:dyDescent="0.2">
      <c r="A97" s="52" t="s">
        <v>68</v>
      </c>
      <c r="B97" s="53">
        <v>12.13</v>
      </c>
      <c r="C97" s="53">
        <f t="shared" ref="C97" si="41">B97*F97</f>
        <v>1839.7571</v>
      </c>
      <c r="D97" s="54"/>
      <c r="E97" s="53">
        <v>35</v>
      </c>
      <c r="F97" s="57">
        <v>151.66999999999999</v>
      </c>
      <c r="G97" s="53">
        <f t="shared" ref="G97" si="42">F97*12</f>
        <v>1820.04</v>
      </c>
      <c r="H97" s="26"/>
      <c r="I97" s="26"/>
      <c r="J97" s="24">
        <v>22</v>
      </c>
      <c r="K97" s="25"/>
      <c r="L97" s="114"/>
      <c r="M97" s="28" t="str">
        <f t="shared" si="16"/>
        <v>29,05</v>
      </c>
      <c r="N97" s="39"/>
      <c r="O97" s="107"/>
      <c r="P97" s="30"/>
      <c r="Q97" s="113"/>
      <c r="R97" s="32">
        <f t="shared" si="19"/>
        <v>136.4</v>
      </c>
      <c r="S97" s="32">
        <f t="shared" si="20"/>
        <v>187</v>
      </c>
      <c r="T97" s="32">
        <f t="shared" si="28"/>
        <v>0</v>
      </c>
      <c r="U97" s="35"/>
      <c r="V97" s="13"/>
      <c r="W97" s="115"/>
      <c r="X97" s="115"/>
      <c r="Y97" s="116"/>
      <c r="Z97" s="117"/>
    </row>
    <row r="98" spans="1:26" x14ac:dyDescent="0.2">
      <c r="A98" s="52" t="s">
        <v>68</v>
      </c>
      <c r="B98" s="53">
        <v>12.13</v>
      </c>
      <c r="C98" s="53">
        <f t="shared" ref="C98" si="43">B98*F98</f>
        <v>1839.7571</v>
      </c>
      <c r="D98" s="54"/>
      <c r="E98" s="53">
        <v>35</v>
      </c>
      <c r="F98" s="57">
        <v>151.66999999999999</v>
      </c>
      <c r="G98" s="53">
        <f t="shared" ref="G98" si="44">F98*12</f>
        <v>1820.04</v>
      </c>
      <c r="H98" s="26"/>
      <c r="I98" s="26"/>
      <c r="J98" s="24">
        <v>22</v>
      </c>
      <c r="K98" s="25"/>
      <c r="L98" s="114"/>
      <c r="M98" s="28" t="str">
        <f t="shared" si="16"/>
        <v>29,05</v>
      </c>
      <c r="N98" s="39"/>
      <c r="O98" s="107"/>
      <c r="P98" s="30"/>
      <c r="Q98" s="113"/>
      <c r="R98" s="32">
        <f t="shared" si="19"/>
        <v>136.4</v>
      </c>
      <c r="S98" s="32">
        <f t="shared" si="20"/>
        <v>187</v>
      </c>
      <c r="T98" s="32">
        <f t="shared" si="28"/>
        <v>1408.4400000000003</v>
      </c>
      <c r="U98" s="35"/>
      <c r="V98" s="13"/>
      <c r="W98" s="115"/>
      <c r="X98" s="115"/>
      <c r="Y98" s="116"/>
      <c r="Z98" s="117"/>
    </row>
    <row r="99" spans="1:26" x14ac:dyDescent="0.2">
      <c r="B99" s="4"/>
      <c r="C99" s="4"/>
      <c r="D99" s="5"/>
    </row>
    <row r="100" spans="1:26" x14ac:dyDescent="0.2">
      <c r="A100" s="2"/>
      <c r="B100" s="2"/>
      <c r="C100" s="6">
        <f>SUM(C5:C99)</f>
        <v>180818.44078999979</v>
      </c>
      <c r="D100" s="2"/>
      <c r="E100" s="2"/>
      <c r="F100" s="6">
        <f>SUM(F5:F99)</f>
        <v>13903.760000000004</v>
      </c>
      <c r="G100" s="6">
        <f>SUM(G5:G99)</f>
        <v>166845.12</v>
      </c>
      <c r="V100" s="2"/>
      <c r="Z100" s="2"/>
    </row>
    <row r="101" spans="1:26" x14ac:dyDescent="0.2">
      <c r="A101" s="2"/>
      <c r="B101" s="2"/>
      <c r="C101" s="2"/>
      <c r="D101" s="2"/>
      <c r="E101" s="2"/>
      <c r="N101" s="27">
        <f>SUM(N5:N80)</f>
        <v>284</v>
      </c>
      <c r="O101" s="27"/>
      <c r="Q101" s="27">
        <f>SUM(Q5:Q80)</f>
        <v>6032.25</v>
      </c>
      <c r="R101" s="27">
        <f>SUM(R5:R80)</f>
        <v>9957.1999999999862</v>
      </c>
      <c r="S101" s="27">
        <f>SUM(S5:S80)</f>
        <v>13651</v>
      </c>
      <c r="T101" s="27"/>
      <c r="U101" s="27">
        <f>SUM(U5:U80)</f>
        <v>270</v>
      </c>
      <c r="V101" s="2"/>
      <c r="Z101" s="2"/>
    </row>
  </sheetData>
  <sheetProtection algorithmName="SHA-512" hashValue="ISP1wjKttyZBaDNQBQJpi0s6B/lqBCTWLx7L/tNho1odFNlUYV4hXHycTni1mQCk4RgfRNXPdx+A8dODFkHDJg==" saltValue="Enu8nr7mHiOLg1iszt5V3w==" spinCount="100000" sheet="1" objects="1" scenarios="1"/>
  <autoFilter ref="A2:Z80"/>
  <phoneticPr fontId="9" type="noConversion"/>
  <printOptions horizontalCentered="1" verticalCentered="1"/>
  <pageMargins left="0" right="0" top="0" bottom="0" header="0" footer="0"/>
  <pageSetup paperSize="8" scale="56"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EV</vt:lpstr>
      <vt:lpstr>EV!Impression_des_titres</vt:lpstr>
    </vt:vector>
  </TitlesOfParts>
  <Company>DERICHEBOURG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DERICHEBOURG</dc:creator>
  <cp:lastModifiedBy>CROS Cecile</cp:lastModifiedBy>
  <cp:lastPrinted>2022-07-05T09:21:41Z</cp:lastPrinted>
  <dcterms:created xsi:type="dcterms:W3CDTF">2012-12-12T10:24:10Z</dcterms:created>
  <dcterms:modified xsi:type="dcterms:W3CDTF">2024-12-13T08:10:06Z</dcterms:modified>
</cp:coreProperties>
</file>