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2023\23-2368_MONT SAINT AIGNAN_C_IFA_CCI ROUEN METROPOL\2.2 DCE\PIECES ECRITES\"/>
    </mc:Choice>
  </mc:AlternateContent>
  <xr:revisionPtr revIDLastSave="0" documentId="8_{46E3ED5A-EC55-4E2D-BEAE-F5E2BD33812C}" xr6:coauthVersionLast="47" xr6:coauthVersionMax="47" xr10:uidLastSave="{00000000-0000-0000-0000-000000000000}"/>
  <bookViews>
    <workbookView xWindow="19200" yWindow="0" windowWidth="19200" windowHeight="21000" activeTab="3" xr2:uid="{4BCB1DB9-9AC1-429C-B50B-4DC72A66E41A}"/>
  </bookViews>
  <sheets>
    <sheet name="Existant" sheetId="1" r:id="rId1"/>
    <sheet name="Programme" sheetId="2" state="hidden" r:id="rId2"/>
    <sheet name="Comparaison" sheetId="3" state="hidden" r:id="rId3"/>
    <sheet name="Programme bât C" sheetId="5" r:id="rId4"/>
  </sheets>
  <definedNames>
    <definedName name="_xlnm._FilterDatabase" localSheetId="1" hidden="1">Programme!$A$1:$A$260</definedName>
    <definedName name="_xlnm._FilterDatabase" localSheetId="3" hidden="1">'Programme bât C'!$A$1:$A$204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78" i="5" l="1"/>
  <c r="W174" i="5"/>
  <c r="X61" i="5"/>
  <c r="T72" i="5"/>
  <c r="X179" i="5"/>
  <c r="X178" i="5"/>
  <c r="AC177" i="5"/>
  <c r="X177" i="5" s="1"/>
  <c r="X174" i="5"/>
  <c r="W13" i="5"/>
  <c r="X13" i="5"/>
  <c r="X28" i="5"/>
  <c r="X35" i="5"/>
  <c r="X52" i="5"/>
  <c r="X66" i="5"/>
  <c r="X72" i="5"/>
  <c r="X77" i="5"/>
  <c r="X84" i="5"/>
  <c r="X102" i="5"/>
  <c r="X119" i="5"/>
  <c r="X110" i="5"/>
  <c r="X163" i="5"/>
  <c r="X171" i="5"/>
  <c r="W175" i="5"/>
  <c r="X175" i="5" s="1"/>
  <c r="I166" i="5"/>
  <c r="W166" i="5"/>
  <c r="X142" i="5"/>
  <c r="X134" i="5"/>
  <c r="W119" i="5"/>
  <c r="W110" i="5"/>
  <c r="X12" i="5"/>
  <c r="W72" i="5"/>
  <c r="W84" i="5"/>
  <c r="W77" i="5"/>
  <c r="W61" i="5"/>
  <c r="W28" i="5"/>
  <c r="W66" i="5"/>
  <c r="I72" i="5"/>
  <c r="W35" i="5"/>
  <c r="L14" i="5"/>
  <c r="X197" i="5"/>
  <c r="X195" i="5"/>
  <c r="X192" i="5"/>
  <c r="X191" i="5"/>
  <c r="X190" i="5"/>
  <c r="X189" i="5"/>
  <c r="V188" i="5"/>
  <c r="X185" i="5"/>
  <c r="X172" i="5"/>
  <c r="X169" i="5"/>
  <c r="X168" i="5" s="1"/>
  <c r="X166" i="5"/>
  <c r="X162" i="5"/>
  <c r="X160" i="5"/>
  <c r="X159" i="5"/>
  <c r="X158" i="5"/>
  <c r="X157" i="5"/>
  <c r="X156" i="5"/>
  <c r="X155" i="5"/>
  <c r="X154" i="5"/>
  <c r="X153" i="5"/>
  <c r="X152" i="5"/>
  <c r="X151" i="5"/>
  <c r="X150" i="5"/>
  <c r="X149" i="5"/>
  <c r="X148" i="5"/>
  <c r="X147" i="5"/>
  <c r="X146" i="5"/>
  <c r="X145" i="5"/>
  <c r="X144" i="5"/>
  <c r="X141" i="5"/>
  <c r="X140" i="5"/>
  <c r="X136" i="5"/>
  <c r="X133" i="5"/>
  <c r="X130" i="5"/>
  <c r="X129" i="5"/>
  <c r="X128" i="5"/>
  <c r="X127" i="5"/>
  <c r="X126" i="5"/>
  <c r="X125" i="5"/>
  <c r="X124" i="5"/>
  <c r="X109" i="5"/>
  <c r="X108" i="5"/>
  <c r="X107" i="5"/>
  <c r="X106" i="5"/>
  <c r="X101" i="5"/>
  <c r="X100" i="5"/>
  <c r="X97" i="5"/>
  <c r="X96" i="5"/>
  <c r="X95" i="5"/>
  <c r="X94" i="5"/>
  <c r="X93" i="5"/>
  <c r="X90" i="5"/>
  <c r="X89" i="5" s="1"/>
  <c r="X71" i="5"/>
  <c r="X60" i="5"/>
  <c r="W52" i="5"/>
  <c r="V33" i="5"/>
  <c r="X32" i="5"/>
  <c r="X31" i="5" s="1"/>
  <c r="X27" i="5"/>
  <c r="X26" i="5"/>
  <c r="X23" i="5"/>
  <c r="X22" i="5"/>
  <c r="X21" i="5"/>
  <c r="X20" i="5"/>
  <c r="X19" i="5"/>
  <c r="X18" i="5"/>
  <c r="X10" i="5"/>
  <c r="X9" i="5"/>
  <c r="T178" i="5"/>
  <c r="I161" i="5"/>
  <c r="L161" i="5"/>
  <c r="P161" i="5"/>
  <c r="T141" i="5"/>
  <c r="S13" i="5"/>
  <c r="T13" i="5" s="1"/>
  <c r="T11" i="5" s="1"/>
  <c r="T197" i="5"/>
  <c r="T195" i="5"/>
  <c r="T192" i="5"/>
  <c r="T191" i="5"/>
  <c r="T190" i="5"/>
  <c r="T189" i="5"/>
  <c r="R188" i="5"/>
  <c r="T185" i="5"/>
  <c r="T179" i="5"/>
  <c r="T177" i="5"/>
  <c r="S175" i="5"/>
  <c r="T175" i="5" s="1"/>
  <c r="S174" i="5"/>
  <c r="T174" i="5" s="1"/>
  <c r="T172" i="5"/>
  <c r="T171" i="5"/>
  <c r="T169" i="5"/>
  <c r="T168" i="5" s="1"/>
  <c r="T166" i="5"/>
  <c r="T163" i="5"/>
  <c r="T162" i="5"/>
  <c r="T160" i="5"/>
  <c r="T159" i="5"/>
  <c r="T158" i="5"/>
  <c r="T157" i="5"/>
  <c r="T156" i="5"/>
  <c r="T155" i="5"/>
  <c r="T154" i="5"/>
  <c r="T153" i="5"/>
  <c r="T152" i="5"/>
  <c r="T151" i="5"/>
  <c r="T150" i="5"/>
  <c r="T149" i="5"/>
  <c r="T148" i="5"/>
  <c r="T147" i="5"/>
  <c r="T146" i="5"/>
  <c r="T145" i="5"/>
  <c r="T144" i="5"/>
  <c r="T140" i="5"/>
  <c r="T136" i="5"/>
  <c r="T135" i="5"/>
  <c r="T134" i="5"/>
  <c r="T130" i="5"/>
  <c r="T129" i="5"/>
  <c r="T128" i="5"/>
  <c r="T127" i="5"/>
  <c r="T126" i="5"/>
  <c r="T125" i="5"/>
  <c r="T124" i="5"/>
  <c r="T119" i="5"/>
  <c r="T110" i="5"/>
  <c r="T109" i="5"/>
  <c r="T108" i="5"/>
  <c r="T107" i="5"/>
  <c r="T106" i="5"/>
  <c r="T102" i="5"/>
  <c r="T101" i="5"/>
  <c r="T100" i="5"/>
  <c r="T97" i="5"/>
  <c r="T96" i="5"/>
  <c r="T95" i="5"/>
  <c r="T94" i="5"/>
  <c r="T93" i="5"/>
  <c r="T90" i="5"/>
  <c r="T89" i="5" s="1"/>
  <c r="T84" i="5"/>
  <c r="T77" i="5"/>
  <c r="T74" i="5"/>
  <c r="T71" i="5"/>
  <c r="T70" i="5"/>
  <c r="T69" i="5"/>
  <c r="T68" i="5"/>
  <c r="T66" i="5"/>
  <c r="T63" i="5"/>
  <c r="T62" i="5"/>
  <c r="T60" i="5"/>
  <c r="T59" i="5"/>
  <c r="T58" i="5"/>
  <c r="T57" i="5"/>
  <c r="T56" i="5"/>
  <c r="T55" i="5"/>
  <c r="T54" i="5"/>
  <c r="T53" i="5"/>
  <c r="S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R33" i="5"/>
  <c r="T32" i="5"/>
  <c r="T31" i="5" s="1"/>
  <c r="T28" i="5"/>
  <c r="T27" i="5"/>
  <c r="T26" i="5"/>
  <c r="T23" i="5"/>
  <c r="T22" i="5"/>
  <c r="T21" i="5"/>
  <c r="T20" i="5"/>
  <c r="T19" i="5"/>
  <c r="T18" i="5"/>
  <c r="T10" i="5"/>
  <c r="T9" i="5"/>
  <c r="P195" i="5"/>
  <c r="P197" i="5"/>
  <c r="P192" i="5"/>
  <c r="P179" i="5"/>
  <c r="P178" i="5"/>
  <c r="P177" i="5"/>
  <c r="O175" i="5"/>
  <c r="P175" i="5" s="1"/>
  <c r="O174" i="5"/>
  <c r="P174" i="5" s="1"/>
  <c r="P166" i="5"/>
  <c r="P100" i="5"/>
  <c r="P74" i="5"/>
  <c r="P73" i="5"/>
  <c r="L73" i="5"/>
  <c r="P68" i="5"/>
  <c r="P69" i="5"/>
  <c r="P70" i="5"/>
  <c r="P62" i="5"/>
  <c r="P63" i="5"/>
  <c r="P64" i="5"/>
  <c r="P54" i="5"/>
  <c r="P55" i="5"/>
  <c r="P56" i="5"/>
  <c r="P57" i="5"/>
  <c r="P58" i="5"/>
  <c r="P59" i="5"/>
  <c r="P53" i="5"/>
  <c r="O52" i="5"/>
  <c r="O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22" i="5"/>
  <c r="O13" i="5"/>
  <c r="P13" i="5" s="1"/>
  <c r="P12" i="5"/>
  <c r="P9" i="5"/>
  <c r="P191" i="5"/>
  <c r="P190" i="5"/>
  <c r="P189" i="5"/>
  <c r="N188" i="5"/>
  <c r="P185" i="5"/>
  <c r="P172" i="5"/>
  <c r="P171" i="5"/>
  <c r="P169" i="5"/>
  <c r="P168" i="5" s="1"/>
  <c r="P163" i="5"/>
  <c r="P162" i="5"/>
  <c r="P160" i="5"/>
  <c r="P159" i="5"/>
  <c r="P158" i="5"/>
  <c r="P157" i="5"/>
  <c r="P156" i="5"/>
  <c r="P155" i="5"/>
  <c r="P154" i="5"/>
  <c r="P153" i="5"/>
  <c r="P152" i="5"/>
  <c r="P151" i="5"/>
  <c r="P150" i="5"/>
  <c r="P149" i="5"/>
  <c r="P148" i="5"/>
  <c r="P147" i="5"/>
  <c r="P146" i="5"/>
  <c r="P145" i="5"/>
  <c r="P144" i="5"/>
  <c r="P141" i="5"/>
  <c r="P140" i="5"/>
  <c r="P136" i="5"/>
  <c r="P135" i="5"/>
  <c r="P133" i="5"/>
  <c r="P130" i="5"/>
  <c r="P129" i="5"/>
  <c r="P128" i="5"/>
  <c r="P127" i="5"/>
  <c r="P126" i="5"/>
  <c r="P125" i="5"/>
  <c r="P124" i="5"/>
  <c r="P119" i="5"/>
  <c r="P110" i="5"/>
  <c r="P109" i="5"/>
  <c r="P108" i="5"/>
  <c r="P107" i="5"/>
  <c r="P106" i="5"/>
  <c r="P102" i="5"/>
  <c r="P101" i="5"/>
  <c r="P97" i="5"/>
  <c r="P96" i="5"/>
  <c r="P95" i="5"/>
  <c r="P94" i="5"/>
  <c r="P93" i="5"/>
  <c r="P90" i="5"/>
  <c r="P89" i="5" s="1"/>
  <c r="P84" i="5"/>
  <c r="P77" i="5"/>
  <c r="P75" i="5"/>
  <c r="P71" i="5"/>
  <c r="P66" i="5"/>
  <c r="P60" i="5"/>
  <c r="N33" i="5"/>
  <c r="P32" i="5"/>
  <c r="P31" i="5" s="1"/>
  <c r="P28" i="5"/>
  <c r="P27" i="5"/>
  <c r="P26" i="5"/>
  <c r="P23" i="5"/>
  <c r="P21" i="5"/>
  <c r="P20" i="5"/>
  <c r="P19" i="5"/>
  <c r="P18" i="5"/>
  <c r="P10" i="5"/>
  <c r="L185" i="5"/>
  <c r="X92" i="5" l="1"/>
  <c r="X91" i="5" s="1"/>
  <c r="T92" i="5"/>
  <c r="T61" i="5"/>
  <c r="X132" i="5"/>
  <c r="X99" i="5"/>
  <c r="X143" i="5"/>
  <c r="X25" i="5"/>
  <c r="X24" i="5" s="1"/>
  <c r="X105" i="5"/>
  <c r="X17" i="5"/>
  <c r="X16" i="5" s="1"/>
  <c r="X65" i="5"/>
  <c r="X76" i="5"/>
  <c r="T76" i="5"/>
  <c r="X11" i="5"/>
  <c r="X173" i="5"/>
  <c r="X170" i="5"/>
  <c r="X193" i="5"/>
  <c r="X194" i="5" s="1"/>
  <c r="X188" i="5"/>
  <c r="X184" i="5" s="1"/>
  <c r="T170" i="5"/>
  <c r="X34" i="5"/>
  <c r="X8" i="5"/>
  <c r="T8" i="5"/>
  <c r="T7" i="5" s="1"/>
  <c r="T65" i="5"/>
  <c r="T173" i="5"/>
  <c r="T188" i="5"/>
  <c r="T184" i="5" s="1"/>
  <c r="T99" i="5"/>
  <c r="T143" i="5"/>
  <c r="T132" i="5"/>
  <c r="T91" i="5"/>
  <c r="T105" i="5"/>
  <c r="T52" i="5"/>
  <c r="T17" i="5"/>
  <c r="T16" i="5" s="1"/>
  <c r="T25" i="5"/>
  <c r="T24" i="5" s="1"/>
  <c r="T35" i="5"/>
  <c r="T193" i="5"/>
  <c r="T194" i="5" s="1"/>
  <c r="P61" i="5"/>
  <c r="P35" i="5"/>
  <c r="P52" i="5"/>
  <c r="P65" i="5"/>
  <c r="P132" i="5"/>
  <c r="P170" i="5"/>
  <c r="P188" i="5"/>
  <c r="P198" i="5" s="1"/>
  <c r="P76" i="5"/>
  <c r="P99" i="5"/>
  <c r="P143" i="5"/>
  <c r="P105" i="5"/>
  <c r="P92" i="5"/>
  <c r="P91" i="5" s="1"/>
  <c r="P193" i="5"/>
  <c r="P194" i="5" s="1"/>
  <c r="P173" i="5"/>
  <c r="P25" i="5"/>
  <c r="P24" i="5" s="1"/>
  <c r="P17" i="5"/>
  <c r="P16" i="5" s="1"/>
  <c r="P11" i="5"/>
  <c r="P8" i="5"/>
  <c r="L178" i="5"/>
  <c r="L177" i="5"/>
  <c r="L192" i="5"/>
  <c r="L191" i="5"/>
  <c r="L190" i="5"/>
  <c r="L189" i="5"/>
  <c r="L175" i="5"/>
  <c r="L174" i="5"/>
  <c r="L172" i="5"/>
  <c r="L171" i="5"/>
  <c r="L169" i="5"/>
  <c r="L163" i="5"/>
  <c r="L162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7" i="5"/>
  <c r="L146" i="5"/>
  <c r="L145" i="5"/>
  <c r="L144" i="5"/>
  <c r="L141" i="5"/>
  <c r="L140" i="5"/>
  <c r="L136" i="5"/>
  <c r="L135" i="5"/>
  <c r="L133" i="5"/>
  <c r="L130" i="5"/>
  <c r="L129" i="5"/>
  <c r="L128" i="5"/>
  <c r="L127" i="5"/>
  <c r="L126" i="5"/>
  <c r="L125" i="5"/>
  <c r="L124" i="5"/>
  <c r="L119" i="5"/>
  <c r="L110" i="5"/>
  <c r="L109" i="5"/>
  <c r="L108" i="5"/>
  <c r="L107" i="5"/>
  <c r="L106" i="5"/>
  <c r="L102" i="5"/>
  <c r="L101" i="5"/>
  <c r="L100" i="5"/>
  <c r="L97" i="5"/>
  <c r="L96" i="5"/>
  <c r="L95" i="5"/>
  <c r="L94" i="5"/>
  <c r="L93" i="5"/>
  <c r="L90" i="5"/>
  <c r="L84" i="5"/>
  <c r="L77" i="5"/>
  <c r="L71" i="5"/>
  <c r="L66" i="5"/>
  <c r="L61" i="5"/>
  <c r="L60" i="5"/>
  <c r="L52" i="5"/>
  <c r="L35" i="5"/>
  <c r="L32" i="5"/>
  <c r="L28" i="5"/>
  <c r="L27" i="5"/>
  <c r="L26" i="5"/>
  <c r="L23" i="5"/>
  <c r="L22" i="5"/>
  <c r="L21" i="5"/>
  <c r="L20" i="5"/>
  <c r="L19" i="5"/>
  <c r="L18" i="5"/>
  <c r="L13" i="5"/>
  <c r="L12" i="5"/>
  <c r="L10" i="5"/>
  <c r="L9" i="5"/>
  <c r="T34" i="5" l="1"/>
  <c r="X98" i="5"/>
  <c r="X131" i="5"/>
  <c r="X7" i="5"/>
  <c r="X167" i="5"/>
  <c r="T167" i="5"/>
  <c r="T98" i="5"/>
  <c r="X33" i="5"/>
  <c r="X198" i="5"/>
  <c r="T131" i="5"/>
  <c r="T33" i="5"/>
  <c r="T198" i="5"/>
  <c r="P34" i="5"/>
  <c r="P33" i="5" s="1"/>
  <c r="P184" i="5"/>
  <c r="P98" i="5"/>
  <c r="P131" i="5"/>
  <c r="P167" i="5"/>
  <c r="P7" i="5"/>
  <c r="L168" i="5"/>
  <c r="L132" i="5"/>
  <c r="L89" i="5"/>
  <c r="J33" i="5"/>
  <c r="L31" i="5"/>
  <c r="L8" i="5"/>
  <c r="I60" i="5"/>
  <c r="I61" i="5"/>
  <c r="I77" i="5"/>
  <c r="I84" i="5"/>
  <c r="I94" i="5"/>
  <c r="I95" i="5"/>
  <c r="I96" i="5"/>
  <c r="I97" i="5"/>
  <c r="I101" i="5"/>
  <c r="I102" i="5"/>
  <c r="I106" i="5"/>
  <c r="I107" i="5"/>
  <c r="I108" i="5"/>
  <c r="I109" i="5"/>
  <c r="I110" i="5"/>
  <c r="I119" i="5"/>
  <c r="I124" i="5"/>
  <c r="I125" i="5"/>
  <c r="I126" i="5"/>
  <c r="I128" i="5"/>
  <c r="I129" i="5"/>
  <c r="I130" i="5"/>
  <c r="I134" i="5"/>
  <c r="I135" i="5"/>
  <c r="I136" i="5"/>
  <c r="I140" i="5"/>
  <c r="I141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2" i="5"/>
  <c r="I163" i="5"/>
  <c r="I169" i="5"/>
  <c r="I168" i="5" s="1"/>
  <c r="I171" i="5"/>
  <c r="I172" i="5"/>
  <c r="I175" i="5"/>
  <c r="G33" i="5"/>
  <c r="X5" i="5" l="1"/>
  <c r="X180" i="5" s="1"/>
  <c r="T5" i="5"/>
  <c r="T180" i="5" s="1"/>
  <c r="P5" i="5"/>
  <c r="P180" i="5" s="1"/>
  <c r="L173" i="5"/>
  <c r="L170" i="5"/>
  <c r="L65" i="5"/>
  <c r="L76" i="5"/>
  <c r="L11" i="5"/>
  <c r="L7" i="5" s="1"/>
  <c r="L193" i="5"/>
  <c r="L194" i="5" s="1"/>
  <c r="L188" i="5"/>
  <c r="L99" i="5"/>
  <c r="J188" i="5"/>
  <c r="L143" i="5"/>
  <c r="L131" i="5" s="1"/>
  <c r="L92" i="5"/>
  <c r="L91" i="5" s="1"/>
  <c r="L25" i="5"/>
  <c r="L24" i="5" s="1"/>
  <c r="L17" i="5"/>
  <c r="L16" i="5" s="1"/>
  <c r="L105" i="5"/>
  <c r="L34" i="5"/>
  <c r="I132" i="5"/>
  <c r="I76" i="5"/>
  <c r="I143" i="5"/>
  <c r="I170" i="5"/>
  <c r="H22" i="5"/>
  <c r="H21" i="5"/>
  <c r="H149" i="2"/>
  <c r="H56" i="2"/>
  <c r="H93" i="5"/>
  <c r="I93" i="5" s="1"/>
  <c r="I92" i="5" s="1"/>
  <c r="I91" i="5" s="1"/>
  <c r="H247" i="2"/>
  <c r="H246" i="2"/>
  <c r="H245" i="2"/>
  <c r="F244" i="2"/>
  <c r="H244" i="2" s="1"/>
  <c r="H243" i="2" s="1"/>
  <c r="F243" i="2"/>
  <c r="I190" i="5"/>
  <c r="G189" i="5"/>
  <c r="I189" i="5" s="1"/>
  <c r="L184" i="5" l="1"/>
  <c r="L198" i="5"/>
  <c r="L167" i="5"/>
  <c r="L98" i="5"/>
  <c r="L33" i="5"/>
  <c r="I131" i="5"/>
  <c r="H249" i="2"/>
  <c r="G188" i="5"/>
  <c r="H174" i="5"/>
  <c r="I174" i="5" s="1"/>
  <c r="I173" i="5" s="1"/>
  <c r="I167" i="5" s="1"/>
  <c r="I28" i="5"/>
  <c r="I192" i="5"/>
  <c r="I23" i="5"/>
  <c r="H127" i="5"/>
  <c r="I127" i="5" s="1"/>
  <c r="I105" i="5" s="1"/>
  <c r="H100" i="5"/>
  <c r="I100" i="5" s="1"/>
  <c r="I99" i="5" s="1"/>
  <c r="H90" i="5"/>
  <c r="I90" i="5" s="1"/>
  <c r="I89" i="5" s="1"/>
  <c r="H71" i="5"/>
  <c r="I71" i="5" s="1"/>
  <c r="H66" i="5"/>
  <c r="I66" i="5" s="1"/>
  <c r="H52" i="5"/>
  <c r="I52" i="5" s="1"/>
  <c r="H35" i="5"/>
  <c r="I35" i="5" s="1"/>
  <c r="H32" i="5"/>
  <c r="I32" i="5" s="1"/>
  <c r="H27" i="5"/>
  <c r="I27" i="5" s="1"/>
  <c r="I26" i="5"/>
  <c r="I22" i="5"/>
  <c r="I21" i="5"/>
  <c r="I20" i="5"/>
  <c r="I19" i="5"/>
  <c r="I18" i="5"/>
  <c r="H13" i="5"/>
  <c r="I13" i="5" s="1"/>
  <c r="I12" i="5"/>
  <c r="I10" i="5"/>
  <c r="I9" i="5"/>
  <c r="H79" i="2"/>
  <c r="H78" i="2"/>
  <c r="H77" i="2"/>
  <c r="H74" i="2"/>
  <c r="I34" i="5" l="1"/>
  <c r="L5" i="5"/>
  <c r="L180" i="5" s="1"/>
  <c r="I98" i="5"/>
  <c r="I65" i="5"/>
  <c r="I17" i="5"/>
  <c r="I16" i="5" s="1"/>
  <c r="I191" i="5"/>
  <c r="I185" i="5"/>
  <c r="I25" i="5"/>
  <c r="I8" i="5"/>
  <c r="I11" i="5"/>
  <c r="I31" i="5"/>
  <c r="I33" i="5" l="1"/>
  <c r="I188" i="5"/>
  <c r="I184" i="5" s="1"/>
  <c r="I193" i="5"/>
  <c r="I194" i="5" s="1"/>
  <c r="I7" i="5"/>
  <c r="I24" i="5"/>
  <c r="I5" i="5" l="1"/>
  <c r="G161" i="2" l="1"/>
  <c r="H161" i="2" s="1"/>
  <c r="H57" i="2"/>
  <c r="H142" i="2" l="1"/>
  <c r="G141" i="2"/>
  <c r="G49" i="2"/>
  <c r="H49" i="2" s="1"/>
  <c r="G48" i="2"/>
  <c r="H48" i="2" s="1"/>
  <c r="G35" i="2"/>
  <c r="G24" i="2"/>
  <c r="H25" i="2"/>
  <c r="H10" i="2"/>
  <c r="H12" i="2"/>
  <c r="H226" i="2"/>
  <c r="H153" i="2"/>
  <c r="D10" i="3" l="1"/>
  <c r="H237" i="2"/>
  <c r="H240" i="2"/>
  <c r="F239" i="2"/>
  <c r="H239" i="2" s="1"/>
  <c r="H236" i="2"/>
  <c r="M257" i="2"/>
  <c r="N254" i="2" s="1"/>
  <c r="F235" i="2" l="1"/>
  <c r="N255" i="2"/>
  <c r="N256" i="2"/>
  <c r="M62" i="1"/>
  <c r="L62" i="1"/>
  <c r="K62" i="1"/>
  <c r="J62" i="1"/>
  <c r="J61" i="1"/>
  <c r="J60" i="1"/>
  <c r="G230" i="2"/>
  <c r="F52" i="2"/>
  <c r="G96" i="2"/>
  <c r="G55" i="2"/>
  <c r="G54" i="2"/>
  <c r="H9" i="2"/>
  <c r="H241" i="2"/>
  <c r="H220" i="2"/>
  <c r="H227" i="2"/>
  <c r="H225" i="2" s="1"/>
  <c r="H222" i="2"/>
  <c r="H205" i="2"/>
  <c r="H235" i="2" l="1"/>
  <c r="H234" i="2" s="1"/>
  <c r="H250" i="2"/>
  <c r="D229" i="2" l="1"/>
  <c r="G229" i="2" s="1"/>
  <c r="H208" i="2"/>
  <c r="G15" i="2" l="1"/>
  <c r="H15" i="2" s="1"/>
  <c r="H62" i="2"/>
  <c r="G42" i="2"/>
  <c r="G43" i="2"/>
  <c r="G44" i="2"/>
  <c r="H45" i="2"/>
  <c r="H46" i="2"/>
  <c r="H47" i="2"/>
  <c r="G148" i="2"/>
  <c r="G36" i="2"/>
  <c r="H34" i="2"/>
  <c r="G59" i="2"/>
  <c r="H36" i="2" l="1"/>
  <c r="H35" i="2"/>
  <c r="G67" i="2"/>
  <c r="G61" i="2"/>
  <c r="H157" i="2"/>
  <c r="H164" i="2"/>
  <c r="H154" i="2"/>
  <c r="H229" i="2"/>
  <c r="H230" i="2"/>
  <c r="H228" i="2" l="1"/>
  <c r="G207" i="2"/>
  <c r="H143" i="2"/>
  <c r="H141" i="2"/>
  <c r="H144" i="2"/>
  <c r="H145" i="2"/>
  <c r="H73" i="2"/>
  <c r="G71" i="2"/>
  <c r="H156" i="2"/>
  <c r="H158" i="2"/>
  <c r="H159" i="2"/>
  <c r="H160" i="2"/>
  <c r="H162" i="2"/>
  <c r="H163" i="2"/>
  <c r="H165" i="2"/>
  <c r="H139" i="2"/>
  <c r="H138" i="2" s="1"/>
  <c r="H131" i="2"/>
  <c r="H132" i="2"/>
  <c r="H133" i="2"/>
  <c r="H134" i="2"/>
  <c r="H135" i="2"/>
  <c r="H136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05" i="2"/>
  <c r="H140" i="2" l="1"/>
  <c r="H104" i="2"/>
  <c r="K104" i="2" s="1"/>
  <c r="H201" i="2"/>
  <c r="H200" i="2"/>
  <c r="H179" i="2"/>
  <c r="H189" i="2"/>
  <c r="H190" i="2"/>
  <c r="H191" i="2"/>
  <c r="H192" i="2"/>
  <c r="H193" i="2"/>
  <c r="H194" i="2"/>
  <c r="H195" i="2"/>
  <c r="H196" i="2"/>
  <c r="H197" i="2"/>
  <c r="H187" i="2"/>
  <c r="H186" i="2"/>
  <c r="H185" i="2"/>
  <c r="H184" i="2"/>
  <c r="H183" i="2"/>
  <c r="H182" i="2"/>
  <c r="H181" i="2"/>
  <c r="H180" i="2"/>
  <c r="H178" i="2"/>
  <c r="H155" i="2"/>
  <c r="H152" i="2"/>
  <c r="H86" i="2"/>
  <c r="H87" i="2"/>
  <c r="G85" i="2"/>
  <c r="H84" i="2"/>
  <c r="H71" i="2"/>
  <c r="G60" i="2"/>
  <c r="H65" i="2"/>
  <c r="H67" i="2"/>
  <c r="H66" i="2" s="1"/>
  <c r="H61" i="2"/>
  <c r="H59" i="2"/>
  <c r="G51" i="2"/>
  <c r="H43" i="2"/>
  <c r="H44" i="2"/>
  <c r="H42" i="2"/>
  <c r="H40" i="2"/>
  <c r="H41" i="2"/>
  <c r="H39" i="2"/>
  <c r="G30" i="2"/>
  <c r="G29" i="2"/>
  <c r="G26" i="2"/>
  <c r="G21" i="2"/>
  <c r="H224" i="2"/>
  <c r="H223" i="2"/>
  <c r="H219" i="2"/>
  <c r="H218" i="2"/>
  <c r="H217" i="2"/>
  <c r="H216" i="2"/>
  <c r="H215" i="2"/>
  <c r="H214" i="2"/>
  <c r="H213" i="2"/>
  <c r="H212" i="2"/>
  <c r="H210" i="2"/>
  <c r="H209" i="2" s="1"/>
  <c r="H207" i="2"/>
  <c r="H206" i="2"/>
  <c r="H188" i="2"/>
  <c r="H176" i="2"/>
  <c r="H175" i="2"/>
  <c r="H172" i="2"/>
  <c r="H171" i="2"/>
  <c r="H170" i="2"/>
  <c r="H167" i="2"/>
  <c r="H166" i="2" s="1"/>
  <c r="H83" i="2"/>
  <c r="H103" i="2"/>
  <c r="H102" i="2"/>
  <c r="H99" i="2"/>
  <c r="H98" i="2"/>
  <c r="H97" i="2"/>
  <c r="H96" i="2"/>
  <c r="H95" i="2"/>
  <c r="H94" i="2"/>
  <c r="H93" i="2"/>
  <c r="H92" i="2"/>
  <c r="H91" i="2"/>
  <c r="H90" i="2"/>
  <c r="H81" i="2"/>
  <c r="H80" i="2"/>
  <c r="H76" i="2"/>
  <c r="H75" i="2"/>
  <c r="H72" i="2"/>
  <c r="H64" i="2"/>
  <c r="H150" i="2"/>
  <c r="H32" i="2"/>
  <c r="H148" i="2"/>
  <c r="H33" i="2"/>
  <c r="H28" i="2"/>
  <c r="H27" i="2"/>
  <c r="H23" i="2"/>
  <c r="H19" i="2"/>
  <c r="H18" i="2"/>
  <c r="H14" i="2"/>
  <c r="H13" i="2" s="1"/>
  <c r="H11" i="2"/>
  <c r="H8" i="2" s="1"/>
  <c r="G38" i="1"/>
  <c r="H38" i="2" l="1"/>
  <c r="H31" i="2"/>
  <c r="H151" i="2"/>
  <c r="H63" i="2"/>
  <c r="H199" i="2"/>
  <c r="H7" i="2"/>
  <c r="H147" i="2"/>
  <c r="H204" i="2"/>
  <c r="H221" i="2"/>
  <c r="H17" i="2"/>
  <c r="H169" i="2"/>
  <c r="H89" i="2"/>
  <c r="H88" i="2" s="1"/>
  <c r="H211" i="2"/>
  <c r="H70" i="2"/>
  <c r="H177" i="2"/>
  <c r="M250" i="2"/>
  <c r="H55" i="2"/>
  <c r="H21" i="2"/>
  <c r="H20" i="2" s="1"/>
  <c r="H30" i="2"/>
  <c r="H51" i="2"/>
  <c r="H50" i="2" s="1"/>
  <c r="H29" i="2"/>
  <c r="H60" i="2"/>
  <c r="H58" i="2" s="1"/>
  <c r="H26" i="2"/>
  <c r="H24" i="2"/>
  <c r="H54" i="2"/>
  <c r="H85" i="2"/>
  <c r="H82" i="2" s="1"/>
  <c r="G222" i="1"/>
  <c r="G231" i="1"/>
  <c r="G232" i="1"/>
  <c r="G233" i="1"/>
  <c r="G122" i="1"/>
  <c r="G123" i="1"/>
  <c r="G124" i="1"/>
  <c r="G125" i="1"/>
  <c r="G126" i="1"/>
  <c r="G127" i="1"/>
  <c r="G128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65" i="1"/>
  <c r="G166" i="1"/>
  <c r="G159" i="1"/>
  <c r="G160" i="1"/>
  <c r="G162" i="1"/>
  <c r="I162" i="1" s="1"/>
  <c r="G163" i="1"/>
  <c r="I163" i="1" s="1"/>
  <c r="G121" i="1"/>
  <c r="G227" i="1"/>
  <c r="G228" i="1"/>
  <c r="G243" i="1"/>
  <c r="G244" i="1"/>
  <c r="G246" i="1"/>
  <c r="G251" i="1"/>
  <c r="G252" i="1"/>
  <c r="G249" i="1"/>
  <c r="G250" i="1"/>
  <c r="G247" i="1"/>
  <c r="G248" i="1"/>
  <c r="G230" i="1"/>
  <c r="G235" i="1"/>
  <c r="G236" i="1"/>
  <c r="G254" i="1"/>
  <c r="G255" i="1"/>
  <c r="G256" i="1"/>
  <c r="G257" i="1"/>
  <c r="G237" i="1"/>
  <c r="G238" i="1"/>
  <c r="G239" i="1"/>
  <c r="G240" i="1"/>
  <c r="G241" i="1"/>
  <c r="G242" i="1"/>
  <c r="G203" i="1"/>
  <c r="G204" i="1"/>
  <c r="G216" i="1"/>
  <c r="G197" i="1"/>
  <c r="G198" i="1"/>
  <c r="G199" i="1"/>
  <c r="G205" i="1"/>
  <c r="G206" i="1"/>
  <c r="G207" i="1"/>
  <c r="G208" i="1"/>
  <c r="G209" i="1"/>
  <c r="G210" i="1"/>
  <c r="G201" i="1"/>
  <c r="G200" i="1" s="1"/>
  <c r="G211" i="1"/>
  <c r="G212" i="1"/>
  <c r="G213" i="1"/>
  <c r="G217" i="1"/>
  <c r="G218" i="1"/>
  <c r="G219" i="1"/>
  <c r="G221" i="1"/>
  <c r="G215" i="1"/>
  <c r="G175" i="1"/>
  <c r="G176" i="1"/>
  <c r="G177" i="1"/>
  <c r="G178" i="1"/>
  <c r="G179" i="1"/>
  <c r="G180" i="1"/>
  <c r="G181" i="1"/>
  <c r="G182" i="1"/>
  <c r="G183" i="1"/>
  <c r="G186" i="1"/>
  <c r="G187" i="1"/>
  <c r="G188" i="1"/>
  <c r="G189" i="1"/>
  <c r="G190" i="1"/>
  <c r="G191" i="1"/>
  <c r="G192" i="1"/>
  <c r="G193" i="1"/>
  <c r="G194" i="1"/>
  <c r="G174" i="1"/>
  <c r="G172" i="1"/>
  <c r="G171" i="1" s="1"/>
  <c r="G170" i="1"/>
  <c r="G169" i="1"/>
  <c r="G118" i="1"/>
  <c r="G117" i="1"/>
  <c r="G116" i="1"/>
  <c r="G115" i="1"/>
  <c r="G114" i="1"/>
  <c r="G113" i="1"/>
  <c r="G112" i="1"/>
  <c r="G101" i="1"/>
  <c r="G102" i="1"/>
  <c r="G103" i="1"/>
  <c r="G104" i="1"/>
  <c r="G105" i="1"/>
  <c r="G106" i="1"/>
  <c r="G107" i="1"/>
  <c r="G108" i="1"/>
  <c r="G100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I84" i="1" s="1"/>
  <c r="G85" i="1"/>
  <c r="G86" i="1"/>
  <c r="G87" i="1"/>
  <c r="G110" i="1"/>
  <c r="G109" i="1" s="1"/>
  <c r="G88" i="1"/>
  <c r="G89" i="1"/>
  <c r="G90" i="1"/>
  <c r="G91" i="1"/>
  <c r="G92" i="1"/>
  <c r="G93" i="1"/>
  <c r="G94" i="1"/>
  <c r="G95" i="1"/>
  <c r="G96" i="1"/>
  <c r="G97" i="1"/>
  <c r="G98" i="1"/>
  <c r="G69" i="1"/>
  <c r="G42" i="1"/>
  <c r="G43" i="1"/>
  <c r="G64" i="1"/>
  <c r="G44" i="1"/>
  <c r="G45" i="1"/>
  <c r="G46" i="1"/>
  <c r="G47" i="1"/>
  <c r="G48" i="1"/>
  <c r="G49" i="1"/>
  <c r="G50" i="1"/>
  <c r="G51" i="1"/>
  <c r="G65" i="1"/>
  <c r="G62" i="1"/>
  <c r="G61" i="1" s="1"/>
  <c r="G52" i="1"/>
  <c r="G66" i="1"/>
  <c r="G53" i="1"/>
  <c r="G54" i="1"/>
  <c r="G55" i="1"/>
  <c r="G56" i="1"/>
  <c r="G57" i="1"/>
  <c r="G58" i="1"/>
  <c r="G59" i="1"/>
  <c r="G60" i="1"/>
  <c r="G41" i="1"/>
  <c r="H22" i="2" l="1"/>
  <c r="H16" i="2" s="1"/>
  <c r="H53" i="2"/>
  <c r="H52" i="2" s="1"/>
  <c r="L250" i="2"/>
  <c r="L251" i="2" s="1"/>
  <c r="H146" i="2"/>
  <c r="G14" i="3" s="1"/>
  <c r="H203" i="2"/>
  <c r="G18" i="3" s="1"/>
  <c r="H37" i="2"/>
  <c r="G8" i="3" s="1"/>
  <c r="H168" i="2"/>
  <c r="G16" i="3" s="1"/>
  <c r="H69" i="2"/>
  <c r="K69" i="2" s="1"/>
  <c r="K89" i="2"/>
  <c r="G168" i="1"/>
  <c r="G253" i="1"/>
  <c r="G161" i="1"/>
  <c r="G220" i="1"/>
  <c r="G196" i="1"/>
  <c r="G245" i="1"/>
  <c r="G234" i="1"/>
  <c r="G229" i="1"/>
  <c r="G214" i="1"/>
  <c r="G202" i="1"/>
  <c r="G164" i="1"/>
  <c r="G129" i="1"/>
  <c r="G120" i="1"/>
  <c r="G63" i="1"/>
  <c r="G40" i="1"/>
  <c r="G99" i="1"/>
  <c r="G167" i="1"/>
  <c r="D14" i="3" s="1"/>
  <c r="G173" i="1"/>
  <c r="D16" i="3" s="1"/>
  <c r="G68" i="1"/>
  <c r="G111" i="1"/>
  <c r="G25" i="1"/>
  <c r="G23" i="1"/>
  <c r="G26" i="1"/>
  <c r="G27" i="1"/>
  <c r="G28" i="1"/>
  <c r="G29" i="1"/>
  <c r="G19" i="1"/>
  <c r="G20" i="1"/>
  <c r="G30" i="1"/>
  <c r="G31" i="1"/>
  <c r="G32" i="1"/>
  <c r="G33" i="1"/>
  <c r="G34" i="1"/>
  <c r="G35" i="1"/>
  <c r="G36" i="1"/>
  <c r="G37" i="1"/>
  <c r="G22" i="1"/>
  <c r="G15" i="1"/>
  <c r="G16" i="1"/>
  <c r="G10" i="1"/>
  <c r="G11" i="1"/>
  <c r="G12" i="1"/>
  <c r="G13" i="1"/>
  <c r="G225" i="1"/>
  <c r="G226" i="1"/>
  <c r="G9" i="1"/>
  <c r="K88" i="2" l="1"/>
  <c r="H68" i="2"/>
  <c r="H5" i="2" s="1"/>
  <c r="G4" i="3"/>
  <c r="I14" i="3"/>
  <c r="J14" i="3" s="1"/>
  <c r="G8" i="1"/>
  <c r="G14" i="1"/>
  <c r="I16" i="3"/>
  <c r="J16" i="3" s="1"/>
  <c r="G195" i="1"/>
  <c r="G224" i="1"/>
  <c r="G223" i="1" s="1"/>
  <c r="G39" i="1"/>
  <c r="D8" i="3" s="1"/>
  <c r="I8" i="3" s="1"/>
  <c r="J8" i="3" s="1"/>
  <c r="G24" i="1"/>
  <c r="G18" i="1"/>
  <c r="G67" i="1"/>
  <c r="G21" i="1"/>
  <c r="G12" i="3" l="1"/>
  <c r="D18" i="3"/>
  <c r="I18" i="3" s="1"/>
  <c r="J18" i="3" s="1"/>
  <c r="G7" i="1"/>
  <c r="D4" i="3" s="1"/>
  <c r="I4" i="3" s="1"/>
  <c r="J4" i="3" s="1"/>
  <c r="G119" i="1"/>
  <c r="G17" i="1"/>
  <c r="D6" i="3" s="1"/>
  <c r="D12" i="3" l="1"/>
  <c r="I12" i="3" s="1"/>
  <c r="J12" i="3" s="1"/>
  <c r="G5" i="1"/>
  <c r="G6" i="3"/>
  <c r="D20" i="3" l="1"/>
  <c r="D22" i="3" s="1"/>
  <c r="D24" i="3" s="1"/>
  <c r="I6" i="3"/>
  <c r="J6" i="3" s="1"/>
  <c r="G10" i="3" l="1"/>
  <c r="I10" i="3" l="1"/>
  <c r="J10" i="3" s="1"/>
  <c r="G20" i="3"/>
  <c r="I20" i="3" s="1"/>
  <c r="J20" i="3" l="1"/>
  <c r="G22" i="3"/>
  <c r="G24" i="3" s="1"/>
</calcChain>
</file>

<file path=xl/sharedStrings.xml><?xml version="1.0" encoding="utf-8"?>
<sst xmlns="http://schemas.openxmlformats.org/spreadsheetml/2006/main" count="1696" uniqueCount="963">
  <si>
    <t>IFA MARCEL SAUVAGE - MONT SAINT-AIGNAN</t>
  </si>
  <si>
    <t>Code</t>
  </si>
  <si>
    <t>Local</t>
  </si>
  <si>
    <t>Unité</t>
  </si>
  <si>
    <t>SUU</t>
  </si>
  <si>
    <t>SU</t>
  </si>
  <si>
    <t>TOTAL surfaces utiles (m² SU)</t>
  </si>
  <si>
    <t xml:space="preserve">Accueil - Convivialité </t>
  </si>
  <si>
    <t>Hall avec espace d'attente</t>
  </si>
  <si>
    <t>AC.01</t>
  </si>
  <si>
    <t>AC.02</t>
  </si>
  <si>
    <t>AC.04</t>
  </si>
  <si>
    <t>AC.05</t>
  </si>
  <si>
    <t>AC.06</t>
  </si>
  <si>
    <t>Salle de détente</t>
  </si>
  <si>
    <t>Hall d'accueil</t>
  </si>
  <si>
    <t>Détente - distributeurs</t>
  </si>
  <si>
    <t>Espace d'attente hall d'entrée</t>
  </si>
  <si>
    <t>Sas accueil</t>
  </si>
  <si>
    <t>Sortie de secours entrée PMR</t>
  </si>
  <si>
    <t>AC.03a</t>
  </si>
  <si>
    <t>AC.03b</t>
  </si>
  <si>
    <t>Sanitaires hall F</t>
  </si>
  <si>
    <t>Sanitaires hall H</t>
  </si>
  <si>
    <t>LG.01</t>
  </si>
  <si>
    <t>LG.02</t>
  </si>
  <si>
    <t>AD.01</t>
  </si>
  <si>
    <t>AD.02</t>
  </si>
  <si>
    <t>AD.03</t>
  </si>
  <si>
    <t>AD.04</t>
  </si>
  <si>
    <t>AD.05</t>
  </si>
  <si>
    <t>AD.06</t>
  </si>
  <si>
    <t>AD.07</t>
  </si>
  <si>
    <t>AD.08</t>
  </si>
  <si>
    <t>AD.09</t>
  </si>
  <si>
    <t>AD.10</t>
  </si>
  <si>
    <t>AD.11</t>
  </si>
  <si>
    <t>AD.12</t>
  </si>
  <si>
    <t>AD.13</t>
  </si>
  <si>
    <t>AD.14</t>
  </si>
  <si>
    <t>AD.15</t>
  </si>
  <si>
    <t>AD.16</t>
  </si>
  <si>
    <t>AD.17</t>
  </si>
  <si>
    <t>Réunion 1</t>
  </si>
  <si>
    <t>Bureau Direction</t>
  </si>
  <si>
    <t>Salle de réunion 10 personnes</t>
  </si>
  <si>
    <t>Back office 6 personnes</t>
  </si>
  <si>
    <t>Assistante Dir.</t>
  </si>
  <si>
    <t>Bureau 1</t>
  </si>
  <si>
    <t>Bureau 2</t>
  </si>
  <si>
    <t>Accueil Open space</t>
  </si>
  <si>
    <t>Bureau responsable filière SOAE</t>
  </si>
  <si>
    <t>Bureau gestionnaire formation</t>
  </si>
  <si>
    <t>Bureau gestionnaire planning</t>
  </si>
  <si>
    <t>Bureau chargées e-learning</t>
  </si>
  <si>
    <t>Secrétariat général</t>
  </si>
  <si>
    <t>Assistant Qualité</t>
  </si>
  <si>
    <t xml:space="preserve">Bureau comptabilité </t>
  </si>
  <si>
    <t>Bureau facturation</t>
  </si>
  <si>
    <t>LG.16</t>
  </si>
  <si>
    <t>LG.17</t>
  </si>
  <si>
    <t>LG.18</t>
  </si>
  <si>
    <t xml:space="preserve">Encadrement pédagogique </t>
  </si>
  <si>
    <t>EXISTANT</t>
  </si>
  <si>
    <t>EP.01</t>
  </si>
  <si>
    <t>Bureau formateurs pharmacie</t>
  </si>
  <si>
    <t>EP.02</t>
  </si>
  <si>
    <t>Bureau formateur pharmacie</t>
  </si>
  <si>
    <t>EP.03</t>
  </si>
  <si>
    <t>Bureau responsable filière pharmacie</t>
  </si>
  <si>
    <t>EP.04</t>
  </si>
  <si>
    <t>Salle des formateurs pharmacie</t>
  </si>
  <si>
    <t>EP.05</t>
  </si>
  <si>
    <t>Bureau filière pharmacie</t>
  </si>
  <si>
    <t>EP.06</t>
  </si>
  <si>
    <t>Bureau hôtellerie-restauration</t>
  </si>
  <si>
    <t>EP.07</t>
  </si>
  <si>
    <t>Bureau formateurs cuisine</t>
  </si>
  <si>
    <t>EP.08</t>
  </si>
  <si>
    <t>Bureau formateurs</t>
  </si>
  <si>
    <t>EP.09</t>
  </si>
  <si>
    <t>Bureau d'accueil filière gestion-administration</t>
  </si>
  <si>
    <t>EP.10</t>
  </si>
  <si>
    <t>Bureau filière gestion-administration</t>
  </si>
  <si>
    <t>EP.11</t>
  </si>
  <si>
    <t>Bureau formateurs tertiaire</t>
  </si>
  <si>
    <t>EP.12</t>
  </si>
  <si>
    <t>Bureau fomateur tertiaire</t>
  </si>
  <si>
    <t>Bureau service informatique</t>
  </si>
  <si>
    <t>EP.14</t>
  </si>
  <si>
    <t>EP.15</t>
  </si>
  <si>
    <t>Repro</t>
  </si>
  <si>
    <t>EP.16</t>
  </si>
  <si>
    <t>Bureau formateur GD</t>
  </si>
  <si>
    <t>EP.17</t>
  </si>
  <si>
    <t>Salle des formateurs</t>
  </si>
  <si>
    <t>EP.18</t>
  </si>
  <si>
    <t>Bureau responsable filière distribution</t>
  </si>
  <si>
    <t>EP.19</t>
  </si>
  <si>
    <t>EP.20</t>
  </si>
  <si>
    <t>Bureau responsable filière vente</t>
  </si>
  <si>
    <t>EP.21</t>
  </si>
  <si>
    <t>Accueil commerce vente (formateurs vente)</t>
  </si>
  <si>
    <t>EP.22</t>
  </si>
  <si>
    <t>Box formateur</t>
  </si>
  <si>
    <t>EP.23</t>
  </si>
  <si>
    <t>Responsable Pédagogie Orientation</t>
  </si>
  <si>
    <t>EP.24</t>
  </si>
  <si>
    <t>EP.25</t>
  </si>
  <si>
    <t>SOAE service d'orientation et d'accompagnement à l'emploi</t>
  </si>
  <si>
    <t>Hall - Accueil</t>
  </si>
  <si>
    <t>Réunion</t>
  </si>
  <si>
    <t>Bureaux</t>
  </si>
  <si>
    <t>Logistique</t>
  </si>
  <si>
    <t>Salles des formateurs</t>
  </si>
  <si>
    <t>Enseignement</t>
  </si>
  <si>
    <t>SB.01</t>
  </si>
  <si>
    <t>Salle banalisée</t>
  </si>
  <si>
    <t>SB.02</t>
  </si>
  <si>
    <t>SB.03</t>
  </si>
  <si>
    <t>SB.04</t>
  </si>
  <si>
    <t>SB.05</t>
  </si>
  <si>
    <t>SB.06</t>
  </si>
  <si>
    <t>SB.07</t>
  </si>
  <si>
    <t>SB.08</t>
  </si>
  <si>
    <t>SB.09</t>
  </si>
  <si>
    <t>SB.10</t>
  </si>
  <si>
    <t>Sale banalisée</t>
  </si>
  <si>
    <t>SB.11</t>
  </si>
  <si>
    <t>SB.12</t>
  </si>
  <si>
    <t>SB.13</t>
  </si>
  <si>
    <t>SB.14</t>
  </si>
  <si>
    <t>SB.15</t>
  </si>
  <si>
    <t>SB.16</t>
  </si>
  <si>
    <t>SB.17</t>
  </si>
  <si>
    <t>SB.18</t>
  </si>
  <si>
    <t>SB.19</t>
  </si>
  <si>
    <t>SB.20</t>
  </si>
  <si>
    <t>Conférence</t>
  </si>
  <si>
    <t>SB.21</t>
  </si>
  <si>
    <t>SB.22</t>
  </si>
  <si>
    <t>SB.23</t>
  </si>
  <si>
    <t>SB.24</t>
  </si>
  <si>
    <t>SB.25</t>
  </si>
  <si>
    <t>SB.26</t>
  </si>
  <si>
    <t>SB.27</t>
  </si>
  <si>
    <t>SB.28</t>
  </si>
  <si>
    <t>SB.29</t>
  </si>
  <si>
    <t>SB.30</t>
  </si>
  <si>
    <t>SB.31</t>
  </si>
  <si>
    <t>Salles banalisées</t>
  </si>
  <si>
    <t>Salles de conférence</t>
  </si>
  <si>
    <t>Enseignement spécialisé</t>
  </si>
  <si>
    <t>Accueil filière Distribution</t>
  </si>
  <si>
    <t>Salles informatiques</t>
  </si>
  <si>
    <t>Salle informatique A</t>
  </si>
  <si>
    <t>Salle informatique E</t>
  </si>
  <si>
    <t>Salle informatique M</t>
  </si>
  <si>
    <t>Salle informatique  N</t>
  </si>
  <si>
    <t>Salle informatique 17</t>
  </si>
  <si>
    <t>Salle informatique 18</t>
  </si>
  <si>
    <t>Salle informatique 25</t>
  </si>
  <si>
    <t>Salle informatique 27</t>
  </si>
  <si>
    <t>Salle informatique 28</t>
  </si>
  <si>
    <t>SBI.01</t>
  </si>
  <si>
    <t>SBI.02</t>
  </si>
  <si>
    <t>SBI.03</t>
  </si>
  <si>
    <t>SBI.04</t>
  </si>
  <si>
    <t>SBI.05</t>
  </si>
  <si>
    <t>SBI.06</t>
  </si>
  <si>
    <t>SBI.07</t>
  </si>
  <si>
    <t>SBI.08</t>
  </si>
  <si>
    <t>SBI.09</t>
  </si>
  <si>
    <t>Ressources</t>
  </si>
  <si>
    <t>CDR</t>
  </si>
  <si>
    <t>Bureau CDR</t>
  </si>
  <si>
    <t>Infirmerie</t>
  </si>
  <si>
    <t>R.01</t>
  </si>
  <si>
    <t>R.02</t>
  </si>
  <si>
    <t>R.03</t>
  </si>
  <si>
    <t>Box</t>
  </si>
  <si>
    <t>Box 19 a</t>
  </si>
  <si>
    <t>Box 19 b</t>
  </si>
  <si>
    <t>Box 29</t>
  </si>
  <si>
    <t>Box 1 (P)</t>
  </si>
  <si>
    <t>Box 2 (P)</t>
  </si>
  <si>
    <t>Box 3 (N)</t>
  </si>
  <si>
    <t>Box 4 (N)</t>
  </si>
  <si>
    <t>SBX.01</t>
  </si>
  <si>
    <t>SBX.02</t>
  </si>
  <si>
    <t>SBX.03</t>
  </si>
  <si>
    <t>SBX.04</t>
  </si>
  <si>
    <t>SBX.05</t>
  </si>
  <si>
    <t>SBX.06</t>
  </si>
  <si>
    <t>SBX.07</t>
  </si>
  <si>
    <t>SE.01</t>
  </si>
  <si>
    <t>Self</t>
  </si>
  <si>
    <t>SE.02</t>
  </si>
  <si>
    <t>Laverie</t>
  </si>
  <si>
    <t>SE.03</t>
  </si>
  <si>
    <t>Annexe laverie</t>
  </si>
  <si>
    <t>SE.04</t>
  </si>
  <si>
    <t>Plonge rest</t>
  </si>
  <si>
    <t>SE.05</t>
  </si>
  <si>
    <t>Local déchets</t>
  </si>
  <si>
    <t>SE.06</t>
  </si>
  <si>
    <t>Cuisson</t>
  </si>
  <si>
    <t>SE.07</t>
  </si>
  <si>
    <t>Bureau responsable self</t>
  </si>
  <si>
    <t>SE.08</t>
  </si>
  <si>
    <t>Local préparations froides</t>
  </si>
  <si>
    <t>SE.09</t>
  </si>
  <si>
    <t>SE.10</t>
  </si>
  <si>
    <t>SE.11</t>
  </si>
  <si>
    <t>Circulation</t>
  </si>
  <si>
    <t>SE.12</t>
  </si>
  <si>
    <t>Circulation (devant escalier)</t>
  </si>
  <si>
    <t>SE.13</t>
  </si>
  <si>
    <t>CF1</t>
  </si>
  <si>
    <t>SE.14</t>
  </si>
  <si>
    <t>Local décontamination</t>
  </si>
  <si>
    <t>SE.15</t>
  </si>
  <si>
    <t>CF2</t>
  </si>
  <si>
    <t>SE.16</t>
  </si>
  <si>
    <t>CF3</t>
  </si>
  <si>
    <t>SE.17</t>
  </si>
  <si>
    <t>Cuisine snack</t>
  </si>
  <si>
    <t>SE.18</t>
  </si>
  <si>
    <t>Salle à manger snack</t>
  </si>
  <si>
    <t>SE.19</t>
  </si>
  <si>
    <t>Réserves sèches</t>
  </si>
  <si>
    <t>SE.20</t>
  </si>
  <si>
    <t>CF légumes</t>
  </si>
  <si>
    <t>SE.21</t>
  </si>
  <si>
    <t>Réserves ustensiles self</t>
  </si>
  <si>
    <t>Restauration - self</t>
  </si>
  <si>
    <t>Local ménage</t>
  </si>
  <si>
    <t>Stockage arts plastiques</t>
  </si>
  <si>
    <t xml:space="preserve">Stockage </t>
  </si>
  <si>
    <t xml:space="preserve">Local ménage </t>
  </si>
  <si>
    <t>Atelier services techniques</t>
  </si>
  <si>
    <t>Atelier électronique</t>
  </si>
  <si>
    <t>Bureau services technique</t>
  </si>
  <si>
    <t>Local stockage tampon (palettes)</t>
  </si>
  <si>
    <t>Archives</t>
  </si>
  <si>
    <t>Local peinture</t>
  </si>
  <si>
    <t>Local fournitures électriques</t>
  </si>
  <si>
    <t>Stockage de mobilier</t>
  </si>
  <si>
    <t>Stockage produits chimiques</t>
  </si>
  <si>
    <t xml:space="preserve">Stockage extincteur      </t>
  </si>
  <si>
    <t xml:space="preserve">Salle serveur  </t>
  </si>
  <si>
    <t xml:space="preserve">Stockage arrière garage </t>
  </si>
  <si>
    <t>Garage</t>
  </si>
  <si>
    <t>Stockage informatique</t>
  </si>
  <si>
    <t>LG.03</t>
  </si>
  <si>
    <t>LG.19</t>
  </si>
  <si>
    <t>LG.20</t>
  </si>
  <si>
    <t>LG.21</t>
  </si>
  <si>
    <t>LG.24</t>
  </si>
  <si>
    <t>LG.25</t>
  </si>
  <si>
    <t>LG.26</t>
  </si>
  <si>
    <t>LG.27</t>
  </si>
  <si>
    <t>LG.32</t>
  </si>
  <si>
    <t>LG.33</t>
  </si>
  <si>
    <t>LG.34</t>
  </si>
  <si>
    <t>LG.35</t>
  </si>
  <si>
    <t>LG.36</t>
  </si>
  <si>
    <t>LG.37</t>
  </si>
  <si>
    <t>LG.38</t>
  </si>
  <si>
    <t>LG.39</t>
  </si>
  <si>
    <t>LG.40</t>
  </si>
  <si>
    <t>LG.43</t>
  </si>
  <si>
    <t>LG.44</t>
  </si>
  <si>
    <t>LG.45</t>
  </si>
  <si>
    <t>LG.50</t>
  </si>
  <si>
    <t>LG.51</t>
  </si>
  <si>
    <t>LG.04</t>
  </si>
  <si>
    <t>LG.05</t>
  </si>
  <si>
    <t>LG.06</t>
  </si>
  <si>
    <t>LG.07</t>
  </si>
  <si>
    <t>LG.08</t>
  </si>
  <si>
    <t>LG.09</t>
  </si>
  <si>
    <t>LG.10</t>
  </si>
  <si>
    <t>LG.11</t>
  </si>
  <si>
    <t>Vestiaire hommes</t>
  </si>
  <si>
    <t>LG.12</t>
  </si>
  <si>
    <t>Vestiaire femmes</t>
  </si>
  <si>
    <t>LG.13</t>
  </si>
  <si>
    <t>LG.14</t>
  </si>
  <si>
    <t>LG.15</t>
  </si>
  <si>
    <t>LG.22</t>
  </si>
  <si>
    <t>Sanitaires hommes</t>
  </si>
  <si>
    <t>LG.23</t>
  </si>
  <si>
    <t>Sanitaires femmes</t>
  </si>
  <si>
    <t>LG.28</t>
  </si>
  <si>
    <t>Vestiaires hommes</t>
  </si>
  <si>
    <t>LG.29</t>
  </si>
  <si>
    <t>LG.30</t>
  </si>
  <si>
    <t>Vestiaires femmes</t>
  </si>
  <si>
    <t>LG.31</t>
  </si>
  <si>
    <t>LG.41</t>
  </si>
  <si>
    <t>LG.42</t>
  </si>
  <si>
    <t>LG.46</t>
  </si>
  <si>
    <t>LG.47</t>
  </si>
  <si>
    <t>LG.48</t>
  </si>
  <si>
    <t>LG.49</t>
  </si>
  <si>
    <t>Sanitaire hommes</t>
  </si>
  <si>
    <t>ES.01</t>
  </si>
  <si>
    <t>Labo n° 1</t>
  </si>
  <si>
    <t>ES.02</t>
  </si>
  <si>
    <t>Labo n° 2 / appart école</t>
  </si>
  <si>
    <t>ES.03</t>
  </si>
  <si>
    <t>Laverie pharmacie</t>
  </si>
  <si>
    <t>ES.04</t>
  </si>
  <si>
    <t>Réserve pharmacie 1</t>
  </si>
  <si>
    <t>ES.05</t>
  </si>
  <si>
    <t>Réserve pharmacie 2</t>
  </si>
  <si>
    <t>ES.06</t>
  </si>
  <si>
    <t>Laboratoire</t>
  </si>
  <si>
    <t>ES.07</t>
  </si>
  <si>
    <t>Lingerie sale</t>
  </si>
  <si>
    <t>ES.08</t>
  </si>
  <si>
    <t>Lingerie propre</t>
  </si>
  <si>
    <t>ES.09</t>
  </si>
  <si>
    <t>Réserve restaurant</t>
  </si>
  <si>
    <t>ES.10</t>
  </si>
  <si>
    <t>Stockage bar ?</t>
  </si>
  <si>
    <t>ES.11</t>
  </si>
  <si>
    <t>Brasserie</t>
  </si>
  <si>
    <t>ES.12</t>
  </si>
  <si>
    <t>Restauration d'application + bar</t>
  </si>
  <si>
    <t>ES.13</t>
  </si>
  <si>
    <t>Accueil restaurant d'application</t>
  </si>
  <si>
    <t>ES.14</t>
  </si>
  <si>
    <t>Local vidéo</t>
  </si>
  <si>
    <t>ES.15</t>
  </si>
  <si>
    <t>Office</t>
  </si>
  <si>
    <t>ES.16</t>
  </si>
  <si>
    <t>Passe-plat</t>
  </si>
  <si>
    <t>ES.17</t>
  </si>
  <si>
    <t>ES.18</t>
  </si>
  <si>
    <t>Sas laverie</t>
  </si>
  <si>
    <t>ES.19</t>
  </si>
  <si>
    <t>CF ordures</t>
  </si>
  <si>
    <t>ES.20</t>
  </si>
  <si>
    <t>Plonge cuisine / laverie</t>
  </si>
  <si>
    <t>ES.21</t>
  </si>
  <si>
    <t>Local à balais (raclettes…)</t>
  </si>
  <si>
    <t>ES.22</t>
  </si>
  <si>
    <t>Cuisine pédagogique</t>
  </si>
  <si>
    <t>ES.23</t>
  </si>
  <si>
    <t>ES.24</t>
  </si>
  <si>
    <t>Poissonnerie</t>
  </si>
  <si>
    <t>ES.24.1</t>
  </si>
  <si>
    <t>Circulation poissonnerie</t>
  </si>
  <si>
    <t>ES.25</t>
  </si>
  <si>
    <t>Patisserie</t>
  </si>
  <si>
    <t>ES.26</t>
  </si>
  <si>
    <t>Show-Room / cuisine de démonstration</t>
  </si>
  <si>
    <t>ES.27</t>
  </si>
  <si>
    <t>Rangement batterie</t>
  </si>
  <si>
    <t>ES.28</t>
  </si>
  <si>
    <t>ES.29</t>
  </si>
  <si>
    <t>Tubercules</t>
  </si>
  <si>
    <t>ES.30</t>
  </si>
  <si>
    <t>Livraison</t>
  </si>
  <si>
    <t>ES.31</t>
  </si>
  <si>
    <t>Sas ch. Froides</t>
  </si>
  <si>
    <t>ES.32</t>
  </si>
  <si>
    <t>CF poisson</t>
  </si>
  <si>
    <t>ES.33</t>
  </si>
  <si>
    <t>CF congélation</t>
  </si>
  <si>
    <t>ES.34</t>
  </si>
  <si>
    <t>CF viande</t>
  </si>
  <si>
    <t>ES.35</t>
  </si>
  <si>
    <t>CF</t>
  </si>
  <si>
    <t>ES.36</t>
  </si>
  <si>
    <t>ES.37</t>
  </si>
  <si>
    <t>Salle polyvalente P</t>
  </si>
  <si>
    <t>ES.38</t>
  </si>
  <si>
    <t>Salle d'arts plastiques T</t>
  </si>
  <si>
    <t>ES.39</t>
  </si>
  <si>
    <t>Cave à vins</t>
  </si>
  <si>
    <t>ES.40</t>
  </si>
  <si>
    <t>Réserve Restaurant</t>
  </si>
  <si>
    <t>ES.41</t>
  </si>
  <si>
    <t>ES.42</t>
  </si>
  <si>
    <t>Officine pharmacie</t>
  </si>
  <si>
    <t>Pharmacie - santé - soins</t>
  </si>
  <si>
    <t>Hôtellerie - Restauration</t>
  </si>
  <si>
    <t>Distribution</t>
  </si>
  <si>
    <t>Autres</t>
  </si>
  <si>
    <t>Locaux ménage</t>
  </si>
  <si>
    <t>Sanitaires restaurant d'application</t>
  </si>
  <si>
    <t>Sanitaires H/F public</t>
  </si>
  <si>
    <t>WC PMR public</t>
  </si>
  <si>
    <t>WC 2 public</t>
  </si>
  <si>
    <t>Sanitaires enseignement</t>
  </si>
  <si>
    <t>Sanitaires filière pharmacie</t>
  </si>
  <si>
    <t>Vestiaires - sanitaires ST</t>
  </si>
  <si>
    <t>Locaux de stockage</t>
  </si>
  <si>
    <t>Serveur</t>
  </si>
  <si>
    <t>Atelier et bureau ST</t>
  </si>
  <si>
    <t>Sanitaires A RDC</t>
  </si>
  <si>
    <t>Vestiaires A RDC</t>
  </si>
  <si>
    <t>Sanitaires Accueil - Convivialité</t>
  </si>
  <si>
    <t>Sanitaires Accueil - Administration</t>
  </si>
  <si>
    <t>Sanitaires H/F personnel administration</t>
  </si>
  <si>
    <t>Sanitaires Hôtellerie - restauration</t>
  </si>
  <si>
    <t>Sanitaires self</t>
  </si>
  <si>
    <t>Logistique (hors sanitaires)</t>
  </si>
  <si>
    <t>Logistique (sanitaires)</t>
  </si>
  <si>
    <t>AD.18</t>
  </si>
  <si>
    <t>30,6 pm</t>
  </si>
  <si>
    <t>7,6 pm</t>
  </si>
  <si>
    <t>Détente</t>
  </si>
  <si>
    <t>Accueil - Administration</t>
  </si>
  <si>
    <t>Accueil Open space (attente)</t>
  </si>
  <si>
    <t>Salle de réunion</t>
  </si>
  <si>
    <t>Salle de réunion 20 personnes</t>
  </si>
  <si>
    <t>Bureau service informatique (2 postes + zone travail)</t>
  </si>
  <si>
    <t>Bureau assistante Dir.</t>
  </si>
  <si>
    <t>Reprographie</t>
  </si>
  <si>
    <t>Salle des formateurs (20 personnes) y compris zone travail, zone convivialité, zone office</t>
  </si>
  <si>
    <t>Salle banalisée Type 1 (30+1 personnes)</t>
  </si>
  <si>
    <t>SB.01bis</t>
  </si>
  <si>
    <t>Salles projet</t>
  </si>
  <si>
    <t>Amphithéâtres</t>
  </si>
  <si>
    <t>Box 5 à 6 personnes</t>
  </si>
  <si>
    <t>Amphithéâtre en gradin (250 places, divisible en 2 x 125 places)</t>
  </si>
  <si>
    <t>Existant</t>
  </si>
  <si>
    <t>Fonction</t>
  </si>
  <si>
    <t>Programme</t>
  </si>
  <si>
    <t>Delta</t>
  </si>
  <si>
    <t xml:space="preserve">Salle type 8 (salle idéation) (15+1 personnes) </t>
  </si>
  <si>
    <t>Salle type 6 - Laboratoire sciences (15+1 personnes)</t>
  </si>
  <si>
    <t>Hub : Plateau e-commerce</t>
  </si>
  <si>
    <t>Prêt à porter, alimentaire, Blanc &amp; Brun, Déco, accessoires de mode, …</t>
  </si>
  <si>
    <t xml:space="preserve">Grandes et Moyennes surfaces (GMS) </t>
  </si>
  <si>
    <t>Salle de conception (20+1 personnes)</t>
  </si>
  <si>
    <t>Réserve marchandises et mobilier</t>
  </si>
  <si>
    <t>Espace de préparation des commandes</t>
  </si>
  <si>
    <t>Learning center</t>
  </si>
  <si>
    <t>Salle de restaurant principale</t>
  </si>
  <si>
    <t>Salle de restaurant secondaire</t>
  </si>
  <si>
    <t>Sanitaires Femmes</t>
  </si>
  <si>
    <t>Self SCRAMBLE</t>
  </si>
  <si>
    <t xml:space="preserve">Depose plateaux </t>
  </si>
  <si>
    <t>140 places / ratio 1,6m²</t>
  </si>
  <si>
    <t>80 places / ratio 1,6m²</t>
  </si>
  <si>
    <t>Compris SAS</t>
  </si>
  <si>
    <t>Ilots éclatés</t>
  </si>
  <si>
    <t>Sur convoyeur mécanisé</t>
  </si>
  <si>
    <t>Espace clients</t>
  </si>
  <si>
    <t>pm</t>
  </si>
  <si>
    <t>Laverie vaisselles</t>
  </si>
  <si>
    <t>Bureau cuisine</t>
  </si>
  <si>
    <t>Reception</t>
  </si>
  <si>
    <t>Réserve seche</t>
  </si>
  <si>
    <t>Stocks neutres</t>
  </si>
  <si>
    <t>CF BOF</t>
  </si>
  <si>
    <t>CF VIANDES</t>
  </si>
  <si>
    <t>CF FRUITS &amp; LEGUMES</t>
  </si>
  <si>
    <t>CF SURGELES</t>
  </si>
  <si>
    <t>Zone de décartonnage</t>
  </si>
  <si>
    <t>Local prétraitements</t>
  </si>
  <si>
    <t>CF JOUR</t>
  </si>
  <si>
    <t>Préparations froides</t>
  </si>
  <si>
    <t>CF Produits Finis</t>
  </si>
  <si>
    <t>Cuissons</t>
  </si>
  <si>
    <t>Plonge batteries</t>
  </si>
  <si>
    <t>Circulations cuisine</t>
  </si>
  <si>
    <t>Compris vaisselles propres</t>
  </si>
  <si>
    <t>Spécifique cuisine</t>
  </si>
  <si>
    <t>Epicerie-boissons</t>
  </si>
  <si>
    <t>Pdts entretien - matériels</t>
  </si>
  <si>
    <t>Compris batteries propres</t>
  </si>
  <si>
    <t>20% SU cuisine (238x0,2)</t>
  </si>
  <si>
    <t>Snack</t>
  </si>
  <si>
    <t>Terrasse SNACK</t>
  </si>
  <si>
    <t>Terrasse salles de restaurant</t>
  </si>
  <si>
    <t>Bar - salon</t>
  </si>
  <si>
    <t>Office bar</t>
  </si>
  <si>
    <t>Réserve matériel</t>
  </si>
  <si>
    <t>Réserve tampon bar</t>
  </si>
  <si>
    <t>Sas accès salles de restaurant</t>
  </si>
  <si>
    <t>Salle de restaurant bistronomique</t>
  </si>
  <si>
    <t>Salle de restaurant gastronomique</t>
  </si>
  <si>
    <t xml:space="preserve">Stockage mobiliers </t>
  </si>
  <si>
    <t>Sanitaires clients hommes</t>
  </si>
  <si>
    <t xml:space="preserve">Cave </t>
  </si>
  <si>
    <t xml:space="preserve">Accès cave </t>
  </si>
  <si>
    <t>Accès aux 2 salles</t>
  </si>
  <si>
    <t>Compris dégustation</t>
  </si>
  <si>
    <t>A définir</t>
  </si>
  <si>
    <t>Espaces cuisine pédagogique</t>
  </si>
  <si>
    <t>Office pédagogique</t>
  </si>
  <si>
    <t>Office bistronomie</t>
  </si>
  <si>
    <t>Office gastronomie</t>
  </si>
  <si>
    <t xml:space="preserve">Plonge  </t>
  </si>
  <si>
    <t>Cuisine d'application</t>
  </si>
  <si>
    <t>Plonge baterie</t>
  </si>
  <si>
    <t>Plonge patisserie</t>
  </si>
  <si>
    <t>SHOWROOM Initiation</t>
  </si>
  <si>
    <t>Plonge SHOWROOM</t>
  </si>
  <si>
    <t>Rangement équipements mobiles</t>
  </si>
  <si>
    <t>Prétraitements</t>
  </si>
  <si>
    <t>Plonge poissonnerie</t>
  </si>
  <si>
    <t>Réception</t>
  </si>
  <si>
    <t>Bureau Econome</t>
  </si>
  <si>
    <t>Stockage matériels</t>
  </si>
  <si>
    <t>Epicerie</t>
  </si>
  <si>
    <t>Vestiaires apprenants hommes</t>
  </si>
  <si>
    <t>Vestiaires apprenants femmes</t>
  </si>
  <si>
    <t>Vestiaires apprenants sans genre</t>
  </si>
  <si>
    <t>Vestiaires personnels hommes</t>
  </si>
  <si>
    <t>Vestiaires personnels femmes</t>
  </si>
  <si>
    <t>Lingerie cuisines</t>
  </si>
  <si>
    <t>Lingerie salles de restaurant</t>
  </si>
  <si>
    <t xml:space="preserve">Circulations </t>
  </si>
  <si>
    <t>Pour les 2 salles de restaurant</t>
  </si>
  <si>
    <t>Transparent</t>
  </si>
  <si>
    <t xml:space="preserve">24 postes </t>
  </si>
  <si>
    <t xml:space="preserve">12 postes </t>
  </si>
  <si>
    <t>Compris stock matériels propres</t>
  </si>
  <si>
    <t>12 postes</t>
  </si>
  <si>
    <t>Compris légumerie</t>
  </si>
  <si>
    <t>Compris douches + casiers</t>
  </si>
  <si>
    <t>15% SU locaux  (920x0,15)</t>
  </si>
  <si>
    <t>Chambres hotel d'application</t>
  </si>
  <si>
    <t>Plateaux techniques</t>
  </si>
  <si>
    <t>Hub 2 : Pharmacie – santé, commerce – vente, distribution</t>
  </si>
  <si>
    <t>Hub 3 : Hôtellerie - Restauration</t>
  </si>
  <si>
    <t>Hôtel d'application</t>
  </si>
  <si>
    <t>Enseignement banalisé</t>
  </si>
  <si>
    <t>Zone d'accueil</t>
  </si>
  <si>
    <t>Espace détente point presse</t>
  </si>
  <si>
    <t>Salle d'accompagnement</t>
  </si>
  <si>
    <t>Studio de production</t>
  </si>
  <si>
    <t>Bureau personnel</t>
  </si>
  <si>
    <t>Postes de consultation multimédias</t>
  </si>
  <si>
    <t>Pièce coffre fort</t>
  </si>
  <si>
    <t>Salle de type 1</t>
  </si>
  <si>
    <t>Divisible en 2 x 15</t>
  </si>
  <si>
    <t>Infirmerie : salle de repos</t>
  </si>
  <si>
    <t>Avec porte blindée</t>
  </si>
  <si>
    <t>Officine expérimentale</t>
  </si>
  <si>
    <t>Zone de stockage</t>
  </si>
  <si>
    <t>Labo pharmacie</t>
  </si>
  <si>
    <t>Espace Bien être – spa</t>
  </si>
  <si>
    <t>Appartement pour Service à la personne et CAP Petite enfance</t>
  </si>
  <si>
    <t>25+1 personnes</t>
  </si>
  <si>
    <t>30 personnes</t>
  </si>
  <si>
    <t>Salle de soins (SST)</t>
  </si>
  <si>
    <t>1 à 2 personnes</t>
  </si>
  <si>
    <t>Plateau technique Espace 56</t>
  </si>
  <si>
    <t>Espace attente et convivialité</t>
  </si>
  <si>
    <t>8 personnes</t>
  </si>
  <si>
    <t>5 personnes</t>
  </si>
  <si>
    <t>Vestiaires prestataire extérieur</t>
  </si>
  <si>
    <t xml:space="preserve">1 autolaveuse, 2 chariots et 1 vidoir </t>
  </si>
  <si>
    <t>Salle de détente / distributeurs</t>
  </si>
  <si>
    <t>Sanitaires personnel</t>
  </si>
  <si>
    <t>yc banque d'accueil</t>
  </si>
  <si>
    <t>Borne de prêt / retour</t>
  </si>
  <si>
    <t>15 places</t>
  </si>
  <si>
    <t>35 places</t>
  </si>
  <si>
    <t>Rayonnages en libre accès</t>
  </si>
  <si>
    <t>1 places</t>
  </si>
  <si>
    <t>Box de travail 4 places</t>
  </si>
  <si>
    <t>4 places</t>
  </si>
  <si>
    <t>2,5 à 3,5 m² / étudiant</t>
  </si>
  <si>
    <t>4 m² / étudiant</t>
  </si>
  <si>
    <t>0,8 à 1 m² / étudiant</t>
  </si>
  <si>
    <t>IFA : 66</t>
  </si>
  <si>
    <t>IFA : 80</t>
  </si>
  <si>
    <t>IFA : 127</t>
  </si>
  <si>
    <t>IFA : 290</t>
  </si>
  <si>
    <t>IFA : 40</t>
  </si>
  <si>
    <t>1 sanitaires / 20 personnes</t>
  </si>
  <si>
    <t>PROGRAMME</t>
  </si>
  <si>
    <t>Espaces abrités</t>
  </si>
  <si>
    <t>pm self 80 places (ratio 1,6)</t>
  </si>
  <si>
    <t>Salle type 2 (salle projet) (30+1 personnes)</t>
  </si>
  <si>
    <t>Espaces de convivialité dans les circulations</t>
  </si>
  <si>
    <t>Secrétaire général</t>
  </si>
  <si>
    <t>Salle de réunion (intégrée dans l'openspace)</t>
  </si>
  <si>
    <t xml:space="preserve">Dimensionnée pour 6 </t>
  </si>
  <si>
    <t>Openspace cellule innovation</t>
  </si>
  <si>
    <t>Liaison zone accueil LC</t>
  </si>
  <si>
    <t>Liaison cellule innovation</t>
  </si>
  <si>
    <t xml:space="preserve">Salle de réunion intégrée 10 personnes </t>
  </si>
  <si>
    <t>20 places</t>
  </si>
  <si>
    <t>Learning lab</t>
  </si>
  <si>
    <t>Espace coworking / tiers lieu</t>
  </si>
  <si>
    <t>Bureau d'Accueil Hub 1</t>
  </si>
  <si>
    <t>Bureau d'Accueil Hub 2</t>
  </si>
  <si>
    <t>Bureau d'Accueil Hub 3</t>
  </si>
  <si>
    <t>openspace (backoffice)</t>
  </si>
  <si>
    <t>Accueil public (front office)</t>
  </si>
  <si>
    <t>Bureau responsable Hub 1</t>
  </si>
  <si>
    <t>Bureau responsable Hub 2</t>
  </si>
  <si>
    <t>Bureau responsable Hub 3</t>
  </si>
  <si>
    <t>Bureaux individuels</t>
  </si>
  <si>
    <t>Bureau Administratifs Hub 1</t>
  </si>
  <si>
    <t>Bureau Administratifs Hub 2</t>
  </si>
  <si>
    <t>Bureau Administratifs Hub 3</t>
  </si>
  <si>
    <t>Pas organisées par hub. Réparties dans les bâtiments. En général situées ailleurs que les bureaux d'accueil des hub</t>
  </si>
  <si>
    <t>Bureaux et ressources</t>
  </si>
  <si>
    <t>Encadrement pédagogique (ces espaces sont rattachés aux hub)</t>
  </si>
  <si>
    <t>Local stockage mobilier</t>
  </si>
  <si>
    <t>Associé à la salle multi-usage</t>
  </si>
  <si>
    <t>Chaque niveau du / des bâtiment(s), aménagés dans élargissements des circulations, palier. Accueillir 10 personnes (1,5 m²/personne)</t>
  </si>
  <si>
    <t>Hall d'accueil (Administration)</t>
  </si>
  <si>
    <t>1,8 m² à 2m² / étudiant
Contrainte cloison - surface exploitée différament</t>
  </si>
  <si>
    <t>Surface extérieure</t>
  </si>
  <si>
    <t>Vestiaires H / F services techniques</t>
  </si>
  <si>
    <t>Sanitaires</t>
  </si>
  <si>
    <t>Surface au sous-sol</t>
  </si>
  <si>
    <t>sous-sol</t>
  </si>
  <si>
    <t>Approche SP (SU*1,30)</t>
  </si>
  <si>
    <t>Approche SHON (SP*1,10)</t>
  </si>
  <si>
    <t>Places de stationnement restaurant d'application</t>
  </si>
  <si>
    <t>Places de stationnement réservées à la Direction</t>
  </si>
  <si>
    <t>Places de stationnement formateurs et apprenants</t>
  </si>
  <si>
    <t>Aire / local 2 roues</t>
  </si>
  <si>
    <t>Vérification</t>
  </si>
  <si>
    <t>Positionnement salle(s) de type 1 à proximité</t>
  </si>
  <si>
    <t>2,2 m² / étudiant - Salles modulables - mobilier sur roulettes, plusieurs configurations : U, double U, rangée, ilôts...)</t>
  </si>
  <si>
    <t>50 places / ratio 1,4m²</t>
  </si>
  <si>
    <t>30 places / ratio 2,3m² - utilisation de guéridons</t>
  </si>
  <si>
    <r>
      <t>Sanitaires apprenants</t>
    </r>
    <r>
      <rPr>
        <sz val="10"/>
        <color rgb="FFFF0000"/>
        <rFont val="Arial"/>
        <family val="2"/>
      </rPr>
      <t xml:space="preserve"> (chiffre présentiel 900 avec augmentation 30%)</t>
    </r>
  </si>
  <si>
    <t>1 sanitaire pour 25 étudiants à répartir dans l'établissement 
ou :
Ratio RIMES 0,15 m² / étudiant,  en présentiel</t>
  </si>
  <si>
    <t>TOTAL SU</t>
  </si>
  <si>
    <t>Bât</t>
  </si>
  <si>
    <t>A</t>
  </si>
  <si>
    <t>B</t>
  </si>
  <si>
    <t>S-sol</t>
  </si>
  <si>
    <t>B S-sol</t>
  </si>
  <si>
    <t>Emprise au sol</t>
  </si>
  <si>
    <t>Espaces verts</t>
  </si>
  <si>
    <t>Emprise stationnement et aires en surface y compris voirie</t>
  </si>
  <si>
    <t>PARCELLE</t>
  </si>
  <si>
    <t>y compris services techniques</t>
  </si>
  <si>
    <t>Aire de livraison</t>
  </si>
  <si>
    <r>
      <rPr>
        <strike/>
        <sz val="10"/>
        <rFont val="Arial"/>
        <family val="2"/>
      </rPr>
      <t>0,8 à 1 m²</t>
    </r>
    <r>
      <rPr>
        <sz val="10"/>
        <rFont val="Arial"/>
        <family val="2"/>
      </rPr>
      <t xml:space="preserve">  1,7 à 1,8 m² / étudiant</t>
    </r>
  </si>
  <si>
    <t>Salle multi-usages (usages multiples, espace cloisonnable, épreuves examens, conseil de perfectionnement, flexibilité d'usage) (60 personnes)</t>
  </si>
  <si>
    <t>Espace de stockage</t>
  </si>
  <si>
    <t>AC.1</t>
  </si>
  <si>
    <t>AC.2</t>
  </si>
  <si>
    <t>AC.3</t>
  </si>
  <si>
    <t>AC.4</t>
  </si>
  <si>
    <t>AA.1</t>
  </si>
  <si>
    <t>AA.2</t>
  </si>
  <si>
    <t>AA.4</t>
  </si>
  <si>
    <t>AA.3</t>
  </si>
  <si>
    <t>AA.5</t>
  </si>
  <si>
    <t>AA.6</t>
  </si>
  <si>
    <t>AA.7</t>
  </si>
  <si>
    <t>AA.8</t>
  </si>
  <si>
    <t>AA.9</t>
  </si>
  <si>
    <t>AA.10</t>
  </si>
  <si>
    <t>AA.11</t>
  </si>
  <si>
    <t>AA.12</t>
  </si>
  <si>
    <t>AA.13</t>
  </si>
  <si>
    <t>AA.14</t>
  </si>
  <si>
    <t>AA.15</t>
  </si>
  <si>
    <t>EP.4</t>
  </si>
  <si>
    <t>EP.8</t>
  </si>
  <si>
    <t>EP.2</t>
  </si>
  <si>
    <t>EP.3</t>
  </si>
  <si>
    <t>EP.5</t>
  </si>
  <si>
    <t>EP.6</t>
  </si>
  <si>
    <t>EP.7</t>
  </si>
  <si>
    <t>EP.9</t>
  </si>
  <si>
    <t>SB.06bis</t>
  </si>
  <si>
    <t>H2.1</t>
  </si>
  <si>
    <t>H2.2</t>
  </si>
  <si>
    <t>H2.3</t>
  </si>
  <si>
    <t>H2.4</t>
  </si>
  <si>
    <t>H2.5</t>
  </si>
  <si>
    <t>H2.6</t>
  </si>
  <si>
    <t>H2.7</t>
  </si>
  <si>
    <t>H2.8</t>
  </si>
  <si>
    <t>H2.9</t>
  </si>
  <si>
    <t>H2.10</t>
  </si>
  <si>
    <t>H2.11</t>
  </si>
  <si>
    <t>H2.12</t>
  </si>
  <si>
    <t>H3.1</t>
  </si>
  <si>
    <t>H3.2</t>
  </si>
  <si>
    <t>H3.3</t>
  </si>
  <si>
    <t>H3.4</t>
  </si>
  <si>
    <t>H3.5</t>
  </si>
  <si>
    <t>H3.6</t>
  </si>
  <si>
    <t>H3.7</t>
  </si>
  <si>
    <t>H3.8</t>
  </si>
  <si>
    <t>H3.9</t>
  </si>
  <si>
    <t>H3.10</t>
  </si>
  <si>
    <t>H3.11</t>
  </si>
  <si>
    <t>H3.12</t>
  </si>
  <si>
    <t>H3.13</t>
  </si>
  <si>
    <t>H3.14</t>
  </si>
  <si>
    <t>Sanitaires clients femmes</t>
  </si>
  <si>
    <t>H3.15</t>
  </si>
  <si>
    <t>H3.16</t>
  </si>
  <si>
    <t>H3.17</t>
  </si>
  <si>
    <t>H3.18</t>
  </si>
  <si>
    <t>H3.19</t>
  </si>
  <si>
    <t>H3.20</t>
  </si>
  <si>
    <t>H3.21</t>
  </si>
  <si>
    <t>H3.22</t>
  </si>
  <si>
    <t>H3.23</t>
  </si>
  <si>
    <t>H3.24</t>
  </si>
  <si>
    <t>H3.25</t>
  </si>
  <si>
    <t>H3.26</t>
  </si>
  <si>
    <t>H3.27</t>
  </si>
  <si>
    <t>H3.28</t>
  </si>
  <si>
    <t>H3.29</t>
  </si>
  <si>
    <t>H3.30</t>
  </si>
  <si>
    <t>H3.31</t>
  </si>
  <si>
    <t>H3.32</t>
  </si>
  <si>
    <t>H3.33</t>
  </si>
  <si>
    <t>H3.34</t>
  </si>
  <si>
    <t>H3.35</t>
  </si>
  <si>
    <t>H3.36</t>
  </si>
  <si>
    <t>H3.37</t>
  </si>
  <si>
    <t>H3.38</t>
  </si>
  <si>
    <t>H3.39</t>
  </si>
  <si>
    <t>H3.40</t>
  </si>
  <si>
    <t>H3.41</t>
  </si>
  <si>
    <t>H3.42</t>
  </si>
  <si>
    <t>H3.43</t>
  </si>
  <si>
    <t>H3.44</t>
  </si>
  <si>
    <t>H3.45</t>
  </si>
  <si>
    <t>H3.46</t>
  </si>
  <si>
    <t>H3.47</t>
  </si>
  <si>
    <t>PTE56.1</t>
  </si>
  <si>
    <t>PTE56.2</t>
  </si>
  <si>
    <t>PTE56.3</t>
  </si>
  <si>
    <t>PTE56.4</t>
  </si>
  <si>
    <t>R.1</t>
  </si>
  <si>
    <t>R.3</t>
  </si>
  <si>
    <t>R.8</t>
  </si>
  <si>
    <t>R.4</t>
  </si>
  <si>
    <t>R.15</t>
  </si>
  <si>
    <t>R.2</t>
  </si>
  <si>
    <t>R.5</t>
  </si>
  <si>
    <t>R.6</t>
  </si>
  <si>
    <t>R.9</t>
  </si>
  <si>
    <t>R.10</t>
  </si>
  <si>
    <t>R.11</t>
  </si>
  <si>
    <t>R.12</t>
  </si>
  <si>
    <t>R.13</t>
  </si>
  <si>
    <t>R.14</t>
  </si>
  <si>
    <t>R.16</t>
  </si>
  <si>
    <t>R.17</t>
  </si>
  <si>
    <t>RS.1</t>
  </si>
  <si>
    <t>RS.2</t>
  </si>
  <si>
    <t>RS.3</t>
  </si>
  <si>
    <t>RS.4</t>
  </si>
  <si>
    <t>RS.5</t>
  </si>
  <si>
    <t>RS.6</t>
  </si>
  <si>
    <t>RS.7</t>
  </si>
  <si>
    <t>RS.8</t>
  </si>
  <si>
    <t>RS.9</t>
  </si>
  <si>
    <t>RS.10</t>
  </si>
  <si>
    <t>RS.11</t>
  </si>
  <si>
    <t>RS.12</t>
  </si>
  <si>
    <t>RS.13</t>
  </si>
  <si>
    <t>RS.14</t>
  </si>
  <si>
    <t>RS.15</t>
  </si>
  <si>
    <t>RS.16</t>
  </si>
  <si>
    <t>RS.17</t>
  </si>
  <si>
    <t>RS.18</t>
  </si>
  <si>
    <t>RS.19</t>
  </si>
  <si>
    <t>RS.20</t>
  </si>
  <si>
    <t>RS.21</t>
  </si>
  <si>
    <t>RS.22</t>
  </si>
  <si>
    <t>RS.23</t>
  </si>
  <si>
    <t>RS.24</t>
  </si>
  <si>
    <t>RS.25</t>
  </si>
  <si>
    <t>RS.26</t>
  </si>
  <si>
    <t>RS.27</t>
  </si>
  <si>
    <t>RS.28</t>
  </si>
  <si>
    <t>RS.29</t>
  </si>
  <si>
    <t>RS.30</t>
  </si>
  <si>
    <t>RS.31</t>
  </si>
  <si>
    <t>L.1</t>
  </si>
  <si>
    <t>L.2</t>
  </si>
  <si>
    <t>L.3</t>
  </si>
  <si>
    <t>L.4</t>
  </si>
  <si>
    <t>L.5</t>
  </si>
  <si>
    <t>L.6</t>
  </si>
  <si>
    <t>L.7</t>
  </si>
  <si>
    <t>L.8</t>
  </si>
  <si>
    <t>L.9</t>
  </si>
  <si>
    <t>L.10</t>
  </si>
  <si>
    <t>L.11</t>
  </si>
  <si>
    <t>L.12</t>
  </si>
  <si>
    <t>L.13</t>
  </si>
  <si>
    <t>L.14</t>
  </si>
  <si>
    <t>L.15</t>
  </si>
  <si>
    <t>L.16</t>
  </si>
  <si>
    <t>L.17</t>
  </si>
  <si>
    <t xml:space="preserve">EP.1 </t>
  </si>
  <si>
    <t>Restaurant d'application</t>
  </si>
  <si>
    <t>Espace cuisine</t>
  </si>
  <si>
    <t>L.18</t>
  </si>
  <si>
    <t>L.19</t>
  </si>
  <si>
    <t>x</t>
  </si>
  <si>
    <t>L.20</t>
  </si>
  <si>
    <t>L.21</t>
  </si>
  <si>
    <t xml:space="preserve">Parvis </t>
  </si>
  <si>
    <t>Places de stationnement réservées à la Direction PMR</t>
  </si>
  <si>
    <t>Places de stationnement restaurant d'application PMR</t>
  </si>
  <si>
    <t>Places de stationnement formateurs et apprenants PMR</t>
  </si>
  <si>
    <t>Espace vert principal</t>
  </si>
  <si>
    <t>Abords</t>
  </si>
  <si>
    <t>S² ext.</t>
  </si>
  <si>
    <t xml:space="preserve">Espaces extérieurs et stationnement </t>
  </si>
  <si>
    <t xml:space="preserve">Espace imprimante </t>
  </si>
  <si>
    <t>Box de travail individuel</t>
  </si>
  <si>
    <t xml:space="preserve">Bureau 1 - Responsable de la comm + commercialisation </t>
  </si>
  <si>
    <t>Bureau comptabilité (responsable comptable)</t>
  </si>
  <si>
    <t xml:space="preserve">Hall d'accueil bâtiment C </t>
  </si>
  <si>
    <t>AC.1b</t>
  </si>
  <si>
    <t xml:space="preserve">Espace d'attente hall d'accueil bâtiment C </t>
  </si>
  <si>
    <t>AC.2b</t>
  </si>
  <si>
    <t>Bureau 2 (3 postes) - Commerciaux</t>
  </si>
  <si>
    <t xml:space="preserve">Espace de stockage Communication </t>
  </si>
  <si>
    <t xml:space="preserve">Back office 8 personnes (openspace) - Communication </t>
  </si>
  <si>
    <t>Bureau openspace 8 personnes</t>
  </si>
  <si>
    <t xml:space="preserve">Salle de réunion Hub 2 10 personnes </t>
  </si>
  <si>
    <t xml:space="preserve">Salle de réunion Hub 3 10 personnes </t>
  </si>
  <si>
    <t>Centre de bilan dont bureau du responsable filière Pédagogie et Orientation</t>
  </si>
  <si>
    <t>Bureau du responsable filière Pédagogie et Orientation</t>
  </si>
  <si>
    <t>Salle banalisée Type 1 bis (30+1 divisible en 2 salles de 15+1) dont une salle affectée aux activités artistiques</t>
  </si>
  <si>
    <t>Salle de collection attenante à la salle d'activités artistiques</t>
  </si>
  <si>
    <t>Box 5 à 6 personnes associé aux salles Type 1</t>
  </si>
  <si>
    <t>2 postes</t>
  </si>
  <si>
    <t>40 mètres linéaires</t>
  </si>
  <si>
    <t>- 1 bureau rebasculé sur l'espace 56</t>
  </si>
  <si>
    <t xml:space="preserve">Ajouter des surfaces pour le stockage / transition ramettes de papier </t>
  </si>
  <si>
    <t xml:space="preserve">Réserve officine </t>
  </si>
  <si>
    <t>Salle de préparations des séries de TP</t>
  </si>
  <si>
    <t>Pièce froide stockage produits chimiques</t>
  </si>
  <si>
    <t xml:space="preserve">Vestiaires hommes et femmes </t>
  </si>
  <si>
    <t>TOTAL surfaces extérieures et stationnement (m²)</t>
  </si>
  <si>
    <t>Hall d'accueil bâtiment D</t>
  </si>
  <si>
    <t>Espace d'attente hall d'accueil bâtiment D</t>
  </si>
  <si>
    <t>Stationnement en sous-sol</t>
  </si>
  <si>
    <t>Salle de collection (attenante à la salle d'activités artistiques)</t>
  </si>
  <si>
    <t>0,15 m² / apprenant (sur la base de la présence en simultané)</t>
  </si>
  <si>
    <t>Serveurs</t>
  </si>
  <si>
    <t>Stationnement en sous-sol (bâtiment C)</t>
  </si>
  <si>
    <t>PTE56.5</t>
  </si>
  <si>
    <t>R.7</t>
  </si>
  <si>
    <t>SAN</t>
  </si>
  <si>
    <t>MEN</t>
  </si>
  <si>
    <t>L1</t>
  </si>
  <si>
    <t>MEN1</t>
  </si>
  <si>
    <t>SB.07bis</t>
  </si>
  <si>
    <t>Local stockage classe mobile informatique</t>
  </si>
  <si>
    <t>6 bureaux vitrés fermés</t>
  </si>
  <si>
    <t>Centre de bilan</t>
  </si>
  <si>
    <t>8 personnes - en accès hub 1</t>
  </si>
  <si>
    <t xml:space="preserve">Bureau service informatique </t>
  </si>
  <si>
    <t>Openspace (backoffice)</t>
  </si>
  <si>
    <t>Bureau Administratif Hub 1</t>
  </si>
  <si>
    <t>Espace coworking / tiers lieu / fablab</t>
  </si>
  <si>
    <t xml:space="preserve">Liaison cellule innovation </t>
  </si>
  <si>
    <t>Administration</t>
  </si>
  <si>
    <t>SURFACES PROGRAMME</t>
  </si>
  <si>
    <t>CIRCULATIONS PARKING</t>
  </si>
  <si>
    <t>LOCAUX TECHNIQUES SOUS-SOL</t>
  </si>
  <si>
    <t xml:space="preserve">CIRCULATIONS </t>
  </si>
  <si>
    <t>LOCAUX TECHNIQUES</t>
  </si>
  <si>
    <t>Espaces extérieurs et aire de livraison</t>
  </si>
  <si>
    <t xml:space="preserve">RATIO SDP / SU </t>
  </si>
  <si>
    <t xml:space="preserve">TOTAL SDP </t>
  </si>
  <si>
    <t xml:space="preserve">TOTAL SDP PARKING </t>
  </si>
  <si>
    <t>RATIO SDP / SU PARKING</t>
  </si>
  <si>
    <t>SURFACES CONCOURS</t>
  </si>
  <si>
    <t>SURFACES APS</t>
  </si>
  <si>
    <t>Sanitaire restaurant</t>
  </si>
  <si>
    <t>SURFACES APD</t>
  </si>
  <si>
    <t>SURFACES PRO</t>
  </si>
  <si>
    <t>AC.4.1</t>
  </si>
  <si>
    <t>AC.4.2</t>
  </si>
  <si>
    <t>SB.06.1</t>
  </si>
  <si>
    <t>SB.06.2</t>
  </si>
  <si>
    <r>
      <t>Encadrement pédagogique</t>
    </r>
    <r>
      <rPr>
        <b/>
        <sz val="11"/>
        <rFont val="Arial"/>
        <family val="2"/>
      </rPr>
      <t xml:space="preserve"> (ces espaces sont rattachés aux hub)</t>
    </r>
  </si>
  <si>
    <t>SB.01bis.1</t>
  </si>
  <si>
    <t>SB.01bis.2</t>
  </si>
  <si>
    <t>SB.01bis.3</t>
  </si>
  <si>
    <t>SB.01bis.4</t>
  </si>
  <si>
    <t>SB.01bis.5</t>
  </si>
  <si>
    <t>SB.01bis.6</t>
  </si>
  <si>
    <t>SB.01bis.7</t>
  </si>
  <si>
    <t>1,8 m² à 2m² / étudiant
Contrainte cloison - surface exploitée différemment</t>
  </si>
  <si>
    <t>SB.01.1</t>
  </si>
  <si>
    <t>SB.01.2</t>
  </si>
  <si>
    <t>SB.01.3</t>
  </si>
  <si>
    <t>SB.01.4</t>
  </si>
  <si>
    <t>SB.01.5</t>
  </si>
  <si>
    <t>SB.01.6</t>
  </si>
  <si>
    <t>SB.01.7</t>
  </si>
  <si>
    <t>SB.01.8</t>
  </si>
  <si>
    <t>SB.01.9</t>
  </si>
  <si>
    <t>SB.01.10</t>
  </si>
  <si>
    <t>SB.01.11</t>
  </si>
  <si>
    <t>SB.01.12</t>
  </si>
  <si>
    <t>SB.01.13</t>
  </si>
  <si>
    <t>SB.01.14</t>
  </si>
  <si>
    <t>SB.01.15</t>
  </si>
  <si>
    <t>SB.01.16</t>
  </si>
  <si>
    <t>SB.03.1</t>
  </si>
  <si>
    <t>SB.03.2</t>
  </si>
  <si>
    <t>SB.03.3</t>
  </si>
  <si>
    <t>SB.04.1</t>
  </si>
  <si>
    <t>SB.04.2</t>
  </si>
  <si>
    <t>SB.04.3</t>
  </si>
  <si>
    <t>SB.04.4</t>
  </si>
  <si>
    <t>SB.06.3</t>
  </si>
  <si>
    <t>EP.3.1</t>
  </si>
  <si>
    <t>EP.3.2</t>
  </si>
  <si>
    <t>SB.07.1</t>
  </si>
  <si>
    <t>SB.07.2</t>
  </si>
  <si>
    <t>SB.07.3</t>
  </si>
  <si>
    <t>SB.07.4</t>
  </si>
  <si>
    <t>SB.07.5</t>
  </si>
  <si>
    <t>SB.07.6</t>
  </si>
  <si>
    <t>SB.07bis.1</t>
  </si>
  <si>
    <t>SB.07bis.2</t>
  </si>
  <si>
    <t>SB.07bis.3</t>
  </si>
  <si>
    <t>SB.07bis.4</t>
  </si>
  <si>
    <t>R.3.1</t>
  </si>
  <si>
    <t>R.3.2</t>
  </si>
  <si>
    <t>Stockage repro.</t>
  </si>
  <si>
    <t>R.8.1</t>
  </si>
  <si>
    <t>R.8.2</t>
  </si>
  <si>
    <t>R.8.3</t>
  </si>
  <si>
    <t>R.8.4</t>
  </si>
  <si>
    <t>R.8.5</t>
  </si>
  <si>
    <t>R.8.6</t>
  </si>
  <si>
    <t>R.8.7</t>
  </si>
  <si>
    <t>R.8.8</t>
  </si>
  <si>
    <t>R9.1</t>
  </si>
  <si>
    <t>R9.2</t>
  </si>
  <si>
    <t>R9.3</t>
  </si>
  <si>
    <t>R9.4</t>
  </si>
  <si>
    <t>RS.1.1</t>
  </si>
  <si>
    <t>RS.1.2</t>
  </si>
  <si>
    <t>Sas d'entrée</t>
  </si>
  <si>
    <t>RS.4.1</t>
  </si>
  <si>
    <t>RS.4.2</t>
  </si>
  <si>
    <t>Sas de sortie</t>
  </si>
  <si>
    <t>RS.24.1</t>
  </si>
  <si>
    <t>RS.24.2</t>
  </si>
  <si>
    <t>Plonge Batteries</t>
  </si>
  <si>
    <t>Local vaisselle propre</t>
  </si>
  <si>
    <t>Plonge</t>
  </si>
  <si>
    <t>Salle Reprographie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</si>
</sst>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m²&quot;"/>
    <numFmt numFmtId="165" formatCode="0.00&quot; m²&quot;"/>
    <numFmt numFmtId="166" formatCode="#,##0.0&quot; m²&quot;"/>
    <numFmt numFmtId="167" formatCode="\+0%;\-0%"/>
    <numFmt numFmtId="168" formatCode="0.0%"/>
    <numFmt numFmtId="169" formatCode="#,##0.00&quot; m²&quot;"/>
  </numFmts>
  <fonts count="3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20"/>
      <color theme="1"/>
      <name val="Arial"/>
      <family val="2"/>
    </font>
    <font>
      <b/>
      <sz val="12"/>
      <color theme="1"/>
      <name val="Arial"/>
      <family val="2"/>
    </font>
    <font>
      <sz val="12"/>
      <color theme="0"/>
      <name val="Arial"/>
      <family val="2"/>
    </font>
    <font>
      <sz val="16"/>
      <color theme="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theme="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0"/>
      <name val="Arial"/>
      <family val="2"/>
    </font>
    <font>
      <sz val="12"/>
      <color theme="1"/>
      <name val="Arial"/>
      <family val="2"/>
    </font>
    <font>
      <b/>
      <sz val="11"/>
      <color theme="0"/>
      <name val="Arial"/>
      <family val="2"/>
    </font>
    <font>
      <strike/>
      <sz val="10"/>
      <name val="Arial"/>
      <family val="2"/>
    </font>
    <font>
      <b/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2A1C9"/>
        <bgColor indexed="64"/>
      </patternFill>
    </fill>
    <fill>
      <patternFill patternType="solid">
        <fgColor rgb="FFDF84E6"/>
        <bgColor indexed="64"/>
      </patternFill>
    </fill>
    <fill>
      <patternFill patternType="solid">
        <fgColor rgb="FF84CAE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8A48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</borders>
  <cellStyleXfs count="9">
    <xf numFmtId="0" fontId="0" fillId="0" borderId="0"/>
    <xf numFmtId="0" fontId="11" fillId="0" borderId="0"/>
    <xf numFmtId="9" fontId="16" fillId="0" borderId="0" applyFont="0" applyFill="0" applyBorder="0" applyAlignment="0" applyProtection="0"/>
    <xf numFmtId="0" fontId="21" fillId="0" borderId="0"/>
    <xf numFmtId="0" fontId="2" fillId="0" borderId="0"/>
    <xf numFmtId="0" fontId="9" fillId="0" borderId="0"/>
    <xf numFmtId="0" fontId="1" fillId="0" borderId="0"/>
    <xf numFmtId="0" fontId="9" fillId="0" borderId="0"/>
    <xf numFmtId="0" fontId="1" fillId="0" borderId="0"/>
  </cellStyleXfs>
  <cellXfs count="602">
    <xf numFmtId="0" fontId="0" fillId="0" borderId="0" xfId="0"/>
    <xf numFmtId="0" fontId="4" fillId="0" borderId="0" xfId="0" applyFont="1"/>
    <xf numFmtId="0" fontId="5" fillId="0" borderId="0" xfId="0" applyFont="1"/>
    <xf numFmtId="0" fontId="6" fillId="2" borderId="0" xfId="0" applyFont="1" applyFill="1"/>
    <xf numFmtId="0" fontId="0" fillId="0" borderId="0" xfId="0" applyAlignment="1">
      <alignment horizontal="left" vertical="center"/>
    </xf>
    <xf numFmtId="164" fontId="5" fillId="0" borderId="0" xfId="0" applyNumberFormat="1" applyFont="1"/>
    <xf numFmtId="164" fontId="0" fillId="0" borderId="0" xfId="0" applyNumberFormat="1"/>
    <xf numFmtId="164" fontId="6" fillId="2" borderId="0" xfId="0" applyNumberFormat="1" applyFont="1" applyFill="1"/>
    <xf numFmtId="164" fontId="12" fillId="2" borderId="0" xfId="0" applyNumberFormat="1" applyFont="1" applyFill="1"/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10" fillId="0" borderId="1" xfId="0" applyNumberFormat="1" applyFont="1" applyBorder="1"/>
    <xf numFmtId="0" fontId="9" fillId="0" borderId="8" xfId="0" applyFont="1" applyBorder="1"/>
    <xf numFmtId="0" fontId="0" fillId="0" borderId="8" xfId="0" applyBorder="1" applyAlignment="1">
      <alignment horizontal="center"/>
    </xf>
    <xf numFmtId="164" fontId="10" fillId="0" borderId="8" xfId="0" applyNumberFormat="1" applyFont="1" applyBorder="1"/>
    <xf numFmtId="164" fontId="0" fillId="0" borderId="8" xfId="0" applyNumberFormat="1" applyBorder="1"/>
    <xf numFmtId="0" fontId="9" fillId="0" borderId="1" xfId="0" applyFont="1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49" fontId="13" fillId="0" borderId="9" xfId="0" applyNumberFormat="1" applyFont="1" applyBorder="1" applyAlignment="1">
      <alignment horizontal="left"/>
    </xf>
    <xf numFmtId="0" fontId="0" fillId="0" borderId="9" xfId="0" applyBorder="1" applyAlignment="1">
      <alignment horizontal="center"/>
    </xf>
    <xf numFmtId="165" fontId="10" fillId="0" borderId="9" xfId="0" applyNumberFormat="1" applyFont="1" applyBorder="1"/>
    <xf numFmtId="164" fontId="0" fillId="0" borderId="9" xfId="0" applyNumberFormat="1" applyBorder="1"/>
    <xf numFmtId="0" fontId="0" fillId="3" borderId="10" xfId="0" applyFill="1" applyBorder="1" applyAlignment="1">
      <alignment horizontal="left" vertical="center"/>
    </xf>
    <xf numFmtId="0" fontId="0" fillId="3" borderId="11" xfId="0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left" vertical="center"/>
    </xf>
    <xf numFmtId="164" fontId="3" fillId="3" borderId="7" xfId="0" applyNumberFormat="1" applyFont="1" applyFill="1" applyBorder="1" applyAlignment="1">
      <alignment horizontal="center" vertical="center"/>
    </xf>
    <xf numFmtId="164" fontId="5" fillId="5" borderId="12" xfId="0" applyNumberFormat="1" applyFont="1" applyFill="1" applyBorder="1"/>
    <xf numFmtId="164" fontId="5" fillId="4" borderId="12" xfId="0" applyNumberFormat="1" applyFont="1" applyFill="1" applyBorder="1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3" fillId="3" borderId="11" xfId="0" applyFont="1" applyFill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wrapText="1"/>
    </xf>
    <xf numFmtId="0" fontId="9" fillId="0" borderId="1" xfId="0" applyFont="1" applyBorder="1" applyAlignment="1">
      <alignment horizontal="left" wrapText="1"/>
    </xf>
    <xf numFmtId="0" fontId="9" fillId="0" borderId="1" xfId="1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164" fontId="5" fillId="6" borderId="12" xfId="0" applyNumberFormat="1" applyFont="1" applyFill="1" applyBorder="1"/>
    <xf numFmtId="164" fontId="0" fillId="0" borderId="1" xfId="0" applyNumberFormat="1" applyBorder="1" applyAlignment="1">
      <alignment horizontal="right"/>
    </xf>
    <xf numFmtId="0" fontId="9" fillId="0" borderId="9" xfId="0" applyFont="1" applyBorder="1"/>
    <xf numFmtId="0" fontId="9" fillId="0" borderId="9" xfId="0" applyFont="1" applyBorder="1" applyAlignment="1">
      <alignment horizontal="left" wrapText="1"/>
    </xf>
    <xf numFmtId="164" fontId="10" fillId="0" borderId="9" xfId="0" applyNumberFormat="1" applyFont="1" applyBorder="1"/>
    <xf numFmtId="0" fontId="9" fillId="0" borderId="2" xfId="0" applyFont="1" applyBorder="1"/>
    <xf numFmtId="0" fontId="9" fillId="0" borderId="2" xfId="0" applyFont="1" applyBorder="1" applyAlignment="1">
      <alignment horizontal="left" wrapText="1"/>
    </xf>
    <xf numFmtId="0" fontId="0" fillId="0" borderId="2" xfId="0" applyBorder="1" applyAlignment="1">
      <alignment horizontal="center"/>
    </xf>
    <xf numFmtId="164" fontId="10" fillId="0" borderId="2" xfId="0" applyNumberFormat="1" applyFont="1" applyBorder="1"/>
    <xf numFmtId="164" fontId="0" fillId="0" borderId="2" xfId="0" applyNumberFormat="1" applyBorder="1"/>
    <xf numFmtId="164" fontId="5" fillId="11" borderId="12" xfId="0" applyNumberFormat="1" applyFont="1" applyFill="1" applyBorder="1"/>
    <xf numFmtId="0" fontId="9" fillId="0" borderId="3" xfId="0" applyFont="1" applyBorder="1"/>
    <xf numFmtId="0" fontId="9" fillId="0" borderId="3" xfId="0" applyFont="1" applyBorder="1" applyAlignment="1">
      <alignment horizontal="left" wrapText="1"/>
    </xf>
    <xf numFmtId="0" fontId="0" fillId="0" borderId="3" xfId="0" applyBorder="1" applyAlignment="1">
      <alignment horizontal="center"/>
    </xf>
    <xf numFmtId="164" fontId="10" fillId="0" borderId="3" xfId="0" applyNumberFormat="1" applyFont="1" applyBorder="1"/>
    <xf numFmtId="164" fontId="0" fillId="0" borderId="3" xfId="0" applyNumberFormat="1" applyBorder="1"/>
    <xf numFmtId="164" fontId="5" fillId="8" borderId="12" xfId="0" applyNumberFormat="1" applyFont="1" applyFill="1" applyBorder="1"/>
    <xf numFmtId="164" fontId="5" fillId="10" borderId="12" xfId="0" applyNumberFormat="1" applyFont="1" applyFill="1" applyBorder="1"/>
    <xf numFmtId="164" fontId="5" fillId="7" borderId="12" xfId="0" applyNumberFormat="1" applyFont="1" applyFill="1" applyBorder="1"/>
    <xf numFmtId="164" fontId="5" fillId="9" borderId="12" xfId="0" applyNumberFormat="1" applyFont="1" applyFill="1" applyBorder="1"/>
    <xf numFmtId="164" fontId="6" fillId="2" borderId="0" xfId="0" applyNumberFormat="1" applyFont="1" applyFill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9" xfId="0" applyNumberForma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14" fillId="5" borderId="10" xfId="0" applyFont="1" applyFill="1" applyBorder="1"/>
    <xf numFmtId="0" fontId="14" fillId="5" borderId="11" xfId="0" applyFont="1" applyFill="1" applyBorder="1"/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3" fillId="3" borderId="1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14" fillId="5" borderId="11" xfId="0" applyFont="1" applyFill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8" fillId="0" borderId="2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19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center" wrapText="1"/>
    </xf>
    <xf numFmtId="0" fontId="14" fillId="9" borderId="10" xfId="0" applyFont="1" applyFill="1" applyBorder="1"/>
    <xf numFmtId="0" fontId="14" fillId="9" borderId="11" xfId="0" applyFont="1" applyFill="1" applyBorder="1"/>
    <xf numFmtId="164" fontId="5" fillId="0" borderId="7" xfId="0" applyNumberFormat="1" applyFont="1" applyBorder="1"/>
    <xf numFmtId="0" fontId="20" fillId="0" borderId="0" xfId="0" applyFont="1" applyAlignment="1">
      <alignment horizontal="right"/>
    </xf>
    <xf numFmtId="164" fontId="5" fillId="0" borderId="13" xfId="0" applyNumberFormat="1" applyFont="1" applyBorder="1"/>
    <xf numFmtId="0" fontId="14" fillId="4" borderId="7" xfId="0" applyFont="1" applyFill="1" applyBorder="1"/>
    <xf numFmtId="0" fontId="14" fillId="5" borderId="7" xfId="0" applyFont="1" applyFill="1" applyBorder="1"/>
    <xf numFmtId="0" fontId="14" fillId="6" borderId="7" xfId="0" applyFont="1" applyFill="1" applyBorder="1"/>
    <xf numFmtId="0" fontId="14" fillId="9" borderId="7" xfId="0" applyFont="1" applyFill="1" applyBorder="1"/>
    <xf numFmtId="0" fontId="14" fillId="7" borderId="7" xfId="0" applyFont="1" applyFill="1" applyBorder="1"/>
    <xf numFmtId="0" fontId="14" fillId="10" borderId="7" xfId="0" applyFont="1" applyFill="1" applyBorder="1"/>
    <xf numFmtId="0" fontId="14" fillId="8" borderId="7" xfId="0" applyFont="1" applyFill="1" applyBorder="1"/>
    <xf numFmtId="0" fontId="14" fillId="11" borderId="7" xfId="0" applyFont="1" applyFill="1" applyBorder="1"/>
    <xf numFmtId="0" fontId="0" fillId="13" borderId="10" xfId="0" applyFill="1" applyBorder="1" applyAlignment="1">
      <alignment horizontal="left" vertical="center"/>
    </xf>
    <xf numFmtId="0" fontId="3" fillId="13" borderId="11" xfId="0" applyFont="1" applyFill="1" applyBorder="1" applyAlignment="1">
      <alignment horizontal="left" vertical="center" wrapText="1"/>
    </xf>
    <xf numFmtId="0" fontId="3" fillId="13" borderId="11" xfId="0" applyFont="1" applyFill="1" applyBorder="1" applyAlignment="1">
      <alignment horizontal="center" vertical="center" wrapText="1"/>
    </xf>
    <xf numFmtId="0" fontId="0" fillId="13" borderId="11" xfId="0" applyFill="1" applyBorder="1" applyAlignment="1">
      <alignment horizontal="center" vertical="center"/>
    </xf>
    <xf numFmtId="164" fontId="0" fillId="13" borderId="11" xfId="0" applyNumberFormat="1" applyFill="1" applyBorder="1" applyAlignment="1">
      <alignment horizontal="left" vertical="center"/>
    </xf>
    <xf numFmtId="164" fontId="3" fillId="13" borderId="7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3" fillId="13" borderId="11" xfId="0" applyFont="1" applyFill="1" applyBorder="1" applyAlignment="1">
      <alignment horizontal="left" vertical="center"/>
    </xf>
    <xf numFmtId="164" fontId="5" fillId="14" borderId="7" xfId="0" applyNumberFormat="1" applyFont="1" applyFill="1" applyBorder="1"/>
    <xf numFmtId="164" fontId="5" fillId="14" borderId="13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0" fontId="13" fillId="0" borderId="0" xfId="1" applyFont="1" applyAlignment="1">
      <alignment vertical="center"/>
    </xf>
    <xf numFmtId="0" fontId="13" fillId="0" borderId="0" xfId="1" applyFont="1"/>
    <xf numFmtId="164" fontId="13" fillId="0" borderId="0" xfId="1" applyNumberFormat="1" applyFont="1"/>
    <xf numFmtId="166" fontId="0" fillId="0" borderId="1" xfId="0" applyNumberFormat="1" applyBorder="1"/>
    <xf numFmtId="167" fontId="0" fillId="0" borderId="0" xfId="2" applyNumberFormat="1" applyFont="1"/>
    <xf numFmtId="0" fontId="9" fillId="12" borderId="1" xfId="0" applyFont="1" applyFill="1" applyBorder="1"/>
    <xf numFmtId="0" fontId="9" fillId="12" borderId="1" xfId="0" applyFont="1" applyFill="1" applyBorder="1" applyAlignment="1">
      <alignment horizontal="left" wrapText="1"/>
    </xf>
    <xf numFmtId="0" fontId="0" fillId="12" borderId="1" xfId="0" applyFill="1" applyBorder="1" applyAlignment="1">
      <alignment horizontal="center"/>
    </xf>
    <xf numFmtId="164" fontId="10" fillId="12" borderId="1" xfId="0" applyNumberFormat="1" applyFont="1" applyFill="1" applyBorder="1"/>
    <xf numFmtId="164" fontId="0" fillId="12" borderId="1" xfId="0" applyNumberFormat="1" applyFill="1" applyBorder="1"/>
    <xf numFmtId="0" fontId="19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vertical="center" wrapText="1"/>
    </xf>
    <xf numFmtId="0" fontId="9" fillId="0" borderId="1" xfId="1" applyFont="1" applyBorder="1" applyAlignment="1">
      <alignment horizont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164" fontId="13" fillId="0" borderId="1" xfId="0" applyNumberFormat="1" applyFont="1" applyBorder="1"/>
    <xf numFmtId="164" fontId="9" fillId="0" borderId="1" xfId="0" applyNumberFormat="1" applyFont="1" applyBorder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0" fontId="22" fillId="3" borderId="1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/>
    </xf>
    <xf numFmtId="164" fontId="9" fillId="3" borderId="11" xfId="0" applyNumberFormat="1" applyFont="1" applyFill="1" applyBorder="1" applyAlignment="1">
      <alignment horizontal="left" vertical="center"/>
    </xf>
    <xf numFmtId="164" fontId="22" fillId="3" borderId="7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10" fillId="0" borderId="8" xfId="0" applyNumberFormat="1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vertical="center"/>
    </xf>
    <xf numFmtId="164" fontId="24" fillId="15" borderId="7" xfId="0" applyNumberFormat="1" applyFont="1" applyFill="1" applyBorder="1"/>
    <xf numFmtId="0" fontId="0" fillId="15" borderId="0" xfId="0" applyFill="1"/>
    <xf numFmtId="164" fontId="15" fillId="16" borderId="12" xfId="0" applyNumberFormat="1" applyFont="1" applyFill="1" applyBorder="1"/>
    <xf numFmtId="0" fontId="12" fillId="16" borderId="10" xfId="0" applyFont="1" applyFill="1" applyBorder="1"/>
    <xf numFmtId="0" fontId="12" fillId="16" borderId="11" xfId="0" applyFont="1" applyFill="1" applyBorder="1"/>
    <xf numFmtId="164" fontId="3" fillId="0" borderId="0" xfId="0" applyNumberFormat="1" applyFont="1"/>
    <xf numFmtId="0" fontId="3" fillId="0" borderId="0" xfId="0" applyFont="1" applyAlignment="1">
      <alignment horizontal="center" wrapText="1"/>
    </xf>
    <xf numFmtId="0" fontId="0" fillId="0" borderId="1" xfId="0" applyBorder="1" applyAlignment="1">
      <alignment horizontal="left" wrapText="1"/>
    </xf>
    <xf numFmtId="0" fontId="9" fillId="0" borderId="15" xfId="0" applyFont="1" applyBorder="1" applyAlignment="1">
      <alignment horizontal="center" wrapText="1"/>
    </xf>
    <xf numFmtId="164" fontId="0" fillId="0" borderId="16" xfId="0" applyNumberFormat="1" applyBorder="1"/>
    <xf numFmtId="164" fontId="9" fillId="0" borderId="16" xfId="0" applyNumberFormat="1" applyFont="1" applyBorder="1"/>
    <xf numFmtId="0" fontId="0" fillId="0" borderId="2" xfId="0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14" fillId="9" borderId="17" xfId="0" applyFont="1" applyFill="1" applyBorder="1"/>
    <xf numFmtId="0" fontId="0" fillId="3" borderId="18" xfId="0" applyFill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164" fontId="23" fillId="2" borderId="0" xfId="0" applyNumberFormat="1" applyFont="1" applyFill="1" applyAlignment="1">
      <alignment horizontal="center" vertical="center"/>
    </xf>
    <xf numFmtId="164" fontId="23" fillId="2" borderId="0" xfId="0" applyNumberFormat="1" applyFont="1" applyFill="1" applyAlignment="1">
      <alignment horizontal="center" vertical="center" wrapText="1"/>
    </xf>
    <xf numFmtId="0" fontId="3" fillId="0" borderId="0" xfId="0" applyFont="1"/>
    <xf numFmtId="164" fontId="15" fillId="2" borderId="0" xfId="0" applyNumberFormat="1" applyFont="1" applyFill="1" applyAlignment="1">
      <alignment horizontal="center" vertical="center"/>
    </xf>
    <xf numFmtId="0" fontId="0" fillId="3" borderId="11" xfId="0" applyFill="1" applyBorder="1" applyAlignment="1">
      <alignment horizontal="left" vertical="center"/>
    </xf>
    <xf numFmtId="0" fontId="6" fillId="2" borderId="0" xfId="0" applyFont="1" applyFill="1" applyAlignment="1">
      <alignment horizontal="left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12" borderId="1" xfId="0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168" fontId="0" fillId="0" borderId="0" xfId="2" applyNumberFormat="1" applyFont="1"/>
    <xf numFmtId="0" fontId="9" fillId="0" borderId="8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22" fillId="3" borderId="11" xfId="0" applyFont="1" applyFill="1" applyBorder="1" applyAlignment="1">
      <alignment horizontal="left" vertical="center" wrapText="1"/>
    </xf>
    <xf numFmtId="0" fontId="0" fillId="0" borderId="22" xfId="0" applyBorder="1" applyAlignment="1">
      <alignment wrapText="1"/>
    </xf>
    <xf numFmtId="0" fontId="0" fillId="0" borderId="21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164" fontId="0" fillId="0" borderId="22" xfId="0" applyNumberFormat="1" applyBorder="1"/>
    <xf numFmtId="0" fontId="0" fillId="0" borderId="24" xfId="0" applyBorder="1"/>
    <xf numFmtId="0" fontId="3" fillId="17" borderId="1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21" xfId="0" applyBorder="1" applyAlignment="1">
      <alignment vertical="center" wrapText="1"/>
    </xf>
    <xf numFmtId="164" fontId="25" fillId="2" borderId="0" xfId="0" applyNumberFormat="1" applyFont="1" applyFill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7" xfId="0" applyBorder="1"/>
    <xf numFmtId="164" fontId="0" fillId="18" borderId="1" xfId="0" applyNumberFormat="1" applyFill="1" applyBorder="1" applyAlignment="1">
      <alignment horizontal="right" vertical="center"/>
    </xf>
    <xf numFmtId="164" fontId="0" fillId="18" borderId="0" xfId="0" applyNumberFormat="1" applyFill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164" fontId="0" fillId="0" borderId="9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12" borderId="9" xfId="0" applyFill="1" applyBorder="1" applyAlignment="1">
      <alignment horizontal="center"/>
    </xf>
    <xf numFmtId="164" fontId="10" fillId="12" borderId="9" xfId="0" applyNumberFormat="1" applyFont="1" applyFill="1" applyBorder="1"/>
    <xf numFmtId="0" fontId="17" fillId="0" borderId="1" xfId="0" applyFont="1" applyBorder="1" applyAlignment="1">
      <alignment horizontal="center" vertical="center" wrapText="1"/>
    </xf>
    <xf numFmtId="0" fontId="0" fillId="12" borderId="1" xfId="0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9" fillId="0" borderId="1" xfId="1" applyFont="1" applyBorder="1" applyAlignment="1">
      <alignment horizontal="left" vertical="center" wrapText="1"/>
    </xf>
    <xf numFmtId="0" fontId="9" fillId="12" borderId="1" xfId="0" applyFont="1" applyFill="1" applyBorder="1" applyAlignment="1">
      <alignment horizontal="left" vertical="center" wrapText="1"/>
    </xf>
    <xf numFmtId="0" fontId="17" fillId="12" borderId="1" xfId="0" applyFont="1" applyFill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center" wrapText="1"/>
    </xf>
    <xf numFmtId="0" fontId="9" fillId="0" borderId="24" xfId="0" applyFont="1" applyBorder="1" applyAlignment="1">
      <alignment vertical="center"/>
    </xf>
    <xf numFmtId="0" fontId="9" fillId="12" borderId="1" xfId="1" applyFont="1" applyFill="1" applyBorder="1" applyAlignment="1">
      <alignment horizontal="center" wrapText="1"/>
    </xf>
    <xf numFmtId="0" fontId="0" fillId="0" borderId="0" xfId="0" quotePrefix="1"/>
    <xf numFmtId="0" fontId="9" fillId="0" borderId="28" xfId="0" applyFont="1" applyBorder="1" applyAlignment="1">
      <alignment horizontal="center"/>
    </xf>
    <xf numFmtId="166" fontId="0" fillId="12" borderId="1" xfId="0" applyNumberFormat="1" applyFill="1" applyBorder="1"/>
    <xf numFmtId="164" fontId="0" fillId="12" borderId="9" xfId="0" applyNumberFormat="1" applyFill="1" applyBorder="1"/>
    <xf numFmtId="164" fontId="12" fillId="16" borderId="11" xfId="0" applyNumberFormat="1" applyFont="1" applyFill="1" applyBorder="1"/>
    <xf numFmtId="0" fontId="0" fillId="0" borderId="22" xfId="0" applyBorder="1" applyAlignment="1">
      <alignment horizontal="center"/>
    </xf>
    <xf numFmtId="0" fontId="0" fillId="0" borderId="22" xfId="0" applyBorder="1"/>
    <xf numFmtId="164" fontId="0" fillId="0" borderId="2" xfId="0" applyNumberFormat="1" applyBorder="1" applyAlignment="1">
      <alignment horizontal="right" vertical="center"/>
    </xf>
    <xf numFmtId="2" fontId="0" fillId="0" borderId="0" xfId="0" applyNumberFormat="1"/>
    <xf numFmtId="0" fontId="9" fillId="0" borderId="19" xfId="0" applyFont="1" applyBorder="1" applyAlignment="1">
      <alignment horizontal="center" vertical="center"/>
    </xf>
    <xf numFmtId="164" fontId="0" fillId="0" borderId="16" xfId="0" applyNumberFormat="1" applyBorder="1" applyAlignment="1">
      <alignment vertical="center"/>
    </xf>
    <xf numFmtId="164" fontId="9" fillId="0" borderId="16" xfId="0" applyNumberFormat="1" applyFont="1" applyBorder="1" applyAlignment="1">
      <alignment vertical="center"/>
    </xf>
    <xf numFmtId="0" fontId="9" fillId="0" borderId="20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vertical="center"/>
    </xf>
    <xf numFmtId="1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0" fontId="9" fillId="0" borderId="29" xfId="0" applyFont="1" applyBorder="1" applyAlignment="1">
      <alignment horizontal="center" vertical="center"/>
    </xf>
    <xf numFmtId="164" fontId="0" fillId="18" borderId="1" xfId="0" quotePrefix="1" applyNumberFormat="1" applyFill="1" applyBorder="1" applyAlignment="1">
      <alignment horizontal="right" vertical="center"/>
    </xf>
    <xf numFmtId="0" fontId="9" fillId="0" borderId="30" xfId="0" applyFont="1" applyBorder="1" applyAlignment="1">
      <alignment horizontal="center" vertical="center"/>
    </xf>
    <xf numFmtId="164" fontId="13" fillId="0" borderId="31" xfId="0" applyNumberFormat="1" applyFont="1" applyBorder="1" applyAlignment="1">
      <alignment vertical="center"/>
    </xf>
    <xf numFmtId="0" fontId="9" fillId="0" borderId="32" xfId="0" applyFont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2" borderId="0" xfId="0" applyFill="1"/>
    <xf numFmtId="0" fontId="19" fillId="4" borderId="11" xfId="0" applyFont="1" applyFill="1" applyBorder="1"/>
    <xf numFmtId="0" fontId="19" fillId="4" borderId="10" xfId="0" applyFont="1" applyFill="1" applyBorder="1"/>
    <xf numFmtId="164" fontId="0" fillId="0" borderId="2" xfId="0" applyNumberFormat="1" applyBorder="1" applyAlignment="1">
      <alignment vertical="center"/>
    </xf>
    <xf numFmtId="0" fontId="0" fillId="6" borderId="10" xfId="0" applyFill="1" applyBorder="1"/>
    <xf numFmtId="0" fontId="0" fillId="6" borderId="11" xfId="0" applyFill="1" applyBorder="1"/>
    <xf numFmtId="0" fontId="0" fillId="7" borderId="0" xfId="0" applyFill="1"/>
    <xf numFmtId="164" fontId="13" fillId="0" borderId="7" xfId="0" applyNumberFormat="1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0" fillId="7" borderId="10" xfId="0" applyFill="1" applyBorder="1"/>
    <xf numFmtId="0" fontId="0" fillId="19" borderId="11" xfId="0" applyFill="1" applyBorder="1" applyAlignment="1">
      <alignment horizontal="left" vertical="center"/>
    </xf>
    <xf numFmtId="0" fontId="0" fillId="19" borderId="10" xfId="0" applyFill="1" applyBorder="1"/>
    <xf numFmtId="166" fontId="0" fillId="0" borderId="2" xfId="0" applyNumberFormat="1" applyBorder="1"/>
    <xf numFmtId="0" fontId="0" fillId="8" borderId="10" xfId="0" applyFill="1" applyBorder="1"/>
    <xf numFmtId="0" fontId="19" fillId="8" borderId="11" xfId="0" applyFont="1" applyFill="1" applyBorder="1"/>
    <xf numFmtId="0" fontId="0" fillId="11" borderId="0" xfId="0" applyFill="1"/>
    <xf numFmtId="164" fontId="0" fillId="0" borderId="9" xfId="0" applyNumberFormat="1" applyBorder="1" applyAlignment="1">
      <alignment horizontal="right"/>
    </xf>
    <xf numFmtId="0" fontId="0" fillId="11" borderId="10" xfId="0" applyFill="1" applyBorder="1"/>
    <xf numFmtId="164" fontId="0" fillId="12" borderId="7" xfId="0" applyNumberFormat="1" applyFill="1" applyBorder="1"/>
    <xf numFmtId="164" fontId="0" fillId="18" borderId="2" xfId="0" applyNumberFormat="1" applyFill="1" applyBorder="1" applyAlignment="1">
      <alignment horizontal="right" vertical="center"/>
    </xf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10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0" fillId="12" borderId="7" xfId="0" applyFill="1" applyBorder="1"/>
    <xf numFmtId="0" fontId="0" fillId="12" borderId="7" xfId="0" applyFill="1" applyBorder="1" applyAlignment="1">
      <alignment horizontal="center" wrapText="1"/>
    </xf>
    <xf numFmtId="0" fontId="0" fillId="12" borderId="7" xfId="0" applyFill="1" applyBorder="1" applyAlignment="1">
      <alignment horizontal="center"/>
    </xf>
    <xf numFmtId="164" fontId="3" fillId="0" borderId="1" xfId="0" applyNumberFormat="1" applyFont="1" applyBorder="1"/>
    <xf numFmtId="164" fontId="3" fillId="12" borderId="7" xfId="0" applyNumberFormat="1" applyFont="1" applyFill="1" applyBorder="1" applyAlignment="1">
      <alignment vertical="center"/>
    </xf>
    <xf numFmtId="164" fontId="3" fillId="12" borderId="9" xfId="0" applyNumberFormat="1" applyFont="1" applyFill="1" applyBorder="1" applyAlignment="1">
      <alignment vertical="center"/>
    </xf>
    <xf numFmtId="169" fontId="3" fillId="12" borderId="9" xfId="0" applyNumberFormat="1" applyFont="1" applyFill="1" applyBorder="1" applyAlignment="1">
      <alignment vertical="center"/>
    </xf>
    <xf numFmtId="0" fontId="9" fillId="0" borderId="3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13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9" fillId="0" borderId="28" xfId="0" applyFont="1" applyBorder="1" applyAlignment="1">
      <alignment horizontal="center" vertical="center"/>
    </xf>
    <xf numFmtId="164" fontId="14" fillId="5" borderId="11" xfId="0" applyNumberFormat="1" applyFont="1" applyFill="1" applyBorder="1"/>
    <xf numFmtId="164" fontId="0" fillId="6" borderId="11" xfId="0" applyNumberFormat="1" applyFill="1" applyBorder="1"/>
    <xf numFmtId="164" fontId="14" fillId="9" borderId="11" xfId="0" applyNumberFormat="1" applyFont="1" applyFill="1" applyBorder="1"/>
    <xf numFmtId="0" fontId="29" fillId="0" borderId="0" xfId="0" applyFont="1" applyAlignment="1">
      <alignment horizontal="center"/>
    </xf>
    <xf numFmtId="164" fontId="29" fillId="0" borderId="0" xfId="0" applyNumberFormat="1" applyFont="1"/>
    <xf numFmtId="0" fontId="9" fillId="0" borderId="0" xfId="0" applyFont="1" applyAlignment="1">
      <alignment horizontal="center"/>
    </xf>
    <xf numFmtId="164" fontId="9" fillId="0" borderId="0" xfId="0" applyNumberFormat="1" applyFont="1"/>
    <xf numFmtId="164" fontId="14" fillId="0" borderId="0" xfId="0" applyNumberFormat="1" applyFont="1"/>
    <xf numFmtId="164" fontId="0" fillId="0" borderId="27" xfId="0" applyNumberForma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6" xfId="0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37" xfId="0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0" fillId="0" borderId="9" xfId="0" applyBorder="1" applyAlignment="1">
      <alignment vertical="center" wrapText="1"/>
    </xf>
    <xf numFmtId="0" fontId="0" fillId="0" borderId="37" xfId="0" applyBorder="1" applyAlignment="1">
      <alignment horizontal="center" vertical="center"/>
    </xf>
    <xf numFmtId="164" fontId="0" fillId="0" borderId="39" xfId="0" applyNumberFormat="1" applyBorder="1" applyAlignment="1">
      <alignment vertical="center"/>
    </xf>
    <xf numFmtId="164" fontId="0" fillId="0" borderId="40" xfId="0" applyNumberFormat="1" applyBorder="1" applyAlignment="1">
      <alignment vertical="center"/>
    </xf>
    <xf numFmtId="166" fontId="0" fillId="0" borderId="1" xfId="0" applyNumberFormat="1" applyBorder="1" applyAlignment="1">
      <alignment vertical="center"/>
    </xf>
    <xf numFmtId="166" fontId="0" fillId="3" borderId="11" xfId="0" applyNumberFormat="1" applyFill="1" applyBorder="1" applyAlignment="1">
      <alignment horizontal="left" vertical="center"/>
    </xf>
    <xf numFmtId="166" fontId="3" fillId="3" borderId="7" xfId="0" applyNumberFormat="1" applyFont="1" applyFill="1" applyBorder="1" applyAlignment="1">
      <alignment horizontal="center" vertical="center"/>
    </xf>
    <xf numFmtId="166" fontId="0" fillId="0" borderId="39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6" fontId="0" fillId="0" borderId="16" xfId="0" applyNumberFormat="1" applyBorder="1" applyAlignment="1">
      <alignment vertical="center"/>
    </xf>
    <xf numFmtId="166" fontId="0" fillId="0" borderId="26" xfId="0" applyNumberFormat="1" applyBorder="1" applyAlignment="1">
      <alignment vertical="center"/>
    </xf>
    <xf numFmtId="166" fontId="0" fillId="0" borderId="9" xfId="0" applyNumberFormat="1" applyBorder="1" applyAlignment="1">
      <alignment vertical="center"/>
    </xf>
    <xf numFmtId="166" fontId="14" fillId="5" borderId="11" xfId="0" applyNumberFormat="1" applyFont="1" applyFill="1" applyBorder="1"/>
    <xf numFmtId="166" fontId="5" fillId="5" borderId="12" xfId="0" applyNumberFormat="1" applyFont="1" applyFill="1" applyBorder="1"/>
    <xf numFmtId="166" fontId="0" fillId="6" borderId="11" xfId="0" applyNumberFormat="1" applyFill="1" applyBorder="1"/>
    <xf numFmtId="166" fontId="5" fillId="6" borderId="12" xfId="0" applyNumberFormat="1" applyFont="1" applyFill="1" applyBorder="1"/>
    <xf numFmtId="166" fontId="5" fillId="9" borderId="12" xfId="0" applyNumberFormat="1" applyFont="1" applyFill="1" applyBorder="1"/>
    <xf numFmtId="166" fontId="9" fillId="0" borderId="1" xfId="0" applyNumberFormat="1" applyFont="1" applyBorder="1" applyAlignment="1">
      <alignment vertical="center"/>
    </xf>
    <xf numFmtId="166" fontId="9" fillId="3" borderId="11" xfId="0" applyNumberFormat="1" applyFont="1" applyFill="1" applyBorder="1" applyAlignment="1">
      <alignment horizontal="left" vertical="center"/>
    </xf>
    <xf numFmtId="166" fontId="22" fillId="3" borderId="7" xfId="0" applyNumberFormat="1" applyFont="1" applyFill="1" applyBorder="1" applyAlignment="1">
      <alignment horizontal="center" vertical="center"/>
    </xf>
    <xf numFmtId="166" fontId="13" fillId="0" borderId="7" xfId="0" applyNumberFormat="1" applyFont="1" applyBorder="1" applyAlignment="1">
      <alignment vertical="center"/>
    </xf>
    <xf numFmtId="166" fontId="0" fillId="7" borderId="0" xfId="0" applyNumberFormat="1" applyFill="1"/>
    <xf numFmtId="166" fontId="5" fillId="7" borderId="12" xfId="0" applyNumberFormat="1" applyFont="1" applyFill="1" applyBorder="1"/>
    <xf numFmtId="166" fontId="0" fillId="13" borderId="11" xfId="0" applyNumberFormat="1" applyFill="1" applyBorder="1" applyAlignment="1">
      <alignment horizontal="left" vertical="center"/>
    </xf>
    <xf numFmtId="166" fontId="3" fillId="13" borderId="7" xfId="0" applyNumberFormat="1" applyFont="1" applyFill="1" applyBorder="1" applyAlignment="1">
      <alignment horizontal="center" vertical="center"/>
    </xf>
    <xf numFmtId="166" fontId="0" fillId="19" borderId="11" xfId="0" applyNumberFormat="1" applyFill="1" applyBorder="1" applyAlignment="1">
      <alignment horizontal="left" vertical="center"/>
    </xf>
    <xf numFmtId="166" fontId="5" fillId="10" borderId="12" xfId="0" applyNumberFormat="1" applyFont="1" applyFill="1" applyBorder="1"/>
    <xf numFmtId="166" fontId="10" fillId="0" borderId="1" xfId="0" applyNumberFormat="1" applyFont="1" applyBorder="1"/>
    <xf numFmtId="166" fontId="19" fillId="8" borderId="11" xfId="0" applyNumberFormat="1" applyFont="1" applyFill="1" applyBorder="1"/>
    <xf numFmtId="166" fontId="5" fillId="8" borderId="12" xfId="0" applyNumberFormat="1" applyFont="1" applyFill="1" applyBorder="1"/>
    <xf numFmtId="166" fontId="0" fillId="0" borderId="1" xfId="0" applyNumberFormat="1" applyBorder="1" applyAlignment="1">
      <alignment horizontal="right"/>
    </xf>
    <xf numFmtId="166" fontId="0" fillId="11" borderId="0" xfId="0" applyNumberFormat="1" applyFill="1"/>
    <xf numFmtId="166" fontId="5" fillId="11" borderId="12" xfId="0" applyNumberFormat="1" applyFont="1" applyFill="1" applyBorder="1"/>
    <xf numFmtId="166" fontId="10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166" fontId="0" fillId="12" borderId="7" xfId="0" applyNumberFormat="1" applyFill="1" applyBorder="1"/>
    <xf numFmtId="166" fontId="3" fillId="12" borderId="7" xfId="0" applyNumberFormat="1" applyFont="1" applyFill="1" applyBorder="1" applyAlignment="1">
      <alignment vertical="center"/>
    </xf>
    <xf numFmtId="166" fontId="3" fillId="12" borderId="9" xfId="0" applyNumberFormat="1" applyFont="1" applyFill="1" applyBorder="1" applyAlignment="1">
      <alignment vertical="center"/>
    </xf>
    <xf numFmtId="166" fontId="0" fillId="0" borderId="0" xfId="0" applyNumberFormat="1"/>
    <xf numFmtId="166" fontId="6" fillId="2" borderId="0" xfId="0" applyNumberFormat="1" applyFont="1" applyFill="1"/>
    <xf numFmtId="166" fontId="0" fillId="2" borderId="0" xfId="0" applyNumberFormat="1" applyFill="1"/>
    <xf numFmtId="166" fontId="12" fillId="2" borderId="0" xfId="0" applyNumberFormat="1" applyFont="1" applyFill="1"/>
    <xf numFmtId="166" fontId="12" fillId="16" borderId="11" xfId="0" applyNumberFormat="1" applyFont="1" applyFill="1" applyBorder="1"/>
    <xf numFmtId="166" fontId="15" fillId="16" borderId="12" xfId="0" applyNumberFormat="1" applyFont="1" applyFill="1" applyBorder="1"/>
    <xf numFmtId="166" fontId="0" fillId="0" borderId="1" xfId="0" applyNumberFormat="1" applyBorder="1" applyAlignment="1">
      <alignment horizontal="right" vertical="center"/>
    </xf>
    <xf numFmtId="166" fontId="0" fillId="18" borderId="1" xfId="0" quotePrefix="1" applyNumberFormat="1" applyFill="1" applyBorder="1" applyAlignment="1">
      <alignment horizontal="right" vertical="center"/>
    </xf>
    <xf numFmtId="166" fontId="0" fillId="18" borderId="0" xfId="0" applyNumberFormat="1" applyFill="1" applyAlignment="1">
      <alignment horizontal="right" vertical="center"/>
    </xf>
    <xf numFmtId="166" fontId="0" fillId="18" borderId="1" xfId="0" applyNumberFormat="1" applyFill="1" applyBorder="1" applyAlignment="1">
      <alignment horizontal="right" vertical="center"/>
    </xf>
    <xf numFmtId="166" fontId="0" fillId="0" borderId="2" xfId="0" applyNumberFormat="1" applyBorder="1" applyAlignment="1">
      <alignment horizontal="right" vertical="center"/>
    </xf>
    <xf numFmtId="166" fontId="0" fillId="0" borderId="22" xfId="0" applyNumberFormat="1" applyBorder="1"/>
    <xf numFmtId="166" fontId="5" fillId="4" borderId="12" xfId="0" applyNumberFormat="1" applyFont="1" applyFill="1" applyBorder="1"/>
    <xf numFmtId="164" fontId="0" fillId="0" borderId="38" xfId="0" applyNumberFormat="1" applyBorder="1" applyAlignment="1">
      <alignment vertical="center"/>
    </xf>
    <xf numFmtId="166" fontId="0" fillId="0" borderId="38" xfId="0" applyNumberForma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/>
    </xf>
    <xf numFmtId="164" fontId="6" fillId="2" borderId="46" xfId="0" applyNumberFormat="1" applyFont="1" applyFill="1" applyBorder="1"/>
    <xf numFmtId="164" fontId="6" fillId="2" borderId="47" xfId="0" applyNumberFormat="1" applyFont="1" applyFill="1" applyBorder="1"/>
    <xf numFmtId="0" fontId="14" fillId="4" borderId="10" xfId="0" applyFont="1" applyFill="1" applyBorder="1"/>
    <xf numFmtId="0" fontId="14" fillId="4" borderId="11" xfId="0" applyFont="1" applyFill="1" applyBorder="1"/>
    <xf numFmtId="0" fontId="7" fillId="2" borderId="0" xfId="0" applyFont="1" applyFill="1"/>
    <xf numFmtId="0" fontId="14" fillId="6" borderId="10" xfId="0" applyFont="1" applyFill="1" applyBorder="1"/>
    <xf numFmtId="0" fontId="14" fillId="6" borderId="11" xfId="0" applyFont="1" applyFill="1" applyBorder="1"/>
    <xf numFmtId="0" fontId="0" fillId="0" borderId="27" xfId="0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0" xfId="0" applyFont="1"/>
    <xf numFmtId="0" fontId="14" fillId="0" borderId="0" xfId="0" applyFont="1"/>
    <xf numFmtId="0" fontId="3" fillId="0" borderId="0" xfId="0" applyFont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wrapText="1"/>
    </xf>
    <xf numFmtId="0" fontId="9" fillId="0" borderId="38" xfId="0" applyFont="1" applyBorder="1" applyAlignment="1">
      <alignment horizontal="center" wrapText="1"/>
    </xf>
    <xf numFmtId="0" fontId="9" fillId="0" borderId="38" xfId="1" applyFont="1" applyBorder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12" fillId="0" borderId="0" xfId="0" applyFont="1"/>
    <xf numFmtId="0" fontId="0" fillId="0" borderId="24" xfId="0" applyBorder="1" applyAlignment="1">
      <alignment horizontal="center" wrapText="1"/>
    </xf>
    <xf numFmtId="0" fontId="14" fillId="7" borderId="11" xfId="0" applyFont="1" applyFill="1" applyBorder="1"/>
    <xf numFmtId="0" fontId="14" fillId="10" borderId="11" xfId="0" applyFont="1" applyFill="1" applyBorder="1"/>
    <xf numFmtId="0" fontId="14" fillId="8" borderId="11" xfId="0" applyFont="1" applyFill="1" applyBorder="1"/>
    <xf numFmtId="0" fontId="14" fillId="11" borderId="11" xfId="0" applyFont="1" applyFill="1" applyBorder="1"/>
    <xf numFmtId="0" fontId="7" fillId="2" borderId="26" xfId="0" applyFont="1" applyFill="1" applyBorder="1"/>
    <xf numFmtId="0" fontId="12" fillId="16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164" fontId="0" fillId="0" borderId="7" xfId="0" applyNumberFormat="1" applyBorder="1" applyAlignment="1">
      <alignment vertical="center"/>
    </xf>
    <xf numFmtId="0" fontId="17" fillId="0" borderId="8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wrapText="1"/>
    </xf>
    <xf numFmtId="0" fontId="14" fillId="9" borderId="49" xfId="0" applyFont="1" applyFill="1" applyBorder="1"/>
    <xf numFmtId="0" fontId="0" fillId="3" borderId="50" xfId="0" applyFill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9" fillId="0" borderId="1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164" fontId="0" fillId="0" borderId="36" xfId="0" applyNumberFormat="1" applyBorder="1"/>
    <xf numFmtId="0" fontId="9" fillId="0" borderId="25" xfId="0" applyFont="1" applyBorder="1" applyAlignment="1">
      <alignment horizontal="center" vertical="center"/>
    </xf>
    <xf numFmtId="166" fontId="0" fillId="3" borderId="12" xfId="0" applyNumberFormat="1" applyFill="1" applyBorder="1" applyAlignment="1">
      <alignment horizontal="left" vertical="center"/>
    </xf>
    <xf numFmtId="166" fontId="14" fillId="9" borderId="10" xfId="0" applyNumberFormat="1" applyFont="1" applyFill="1" applyBorder="1"/>
    <xf numFmtId="166" fontId="0" fillId="3" borderId="10" xfId="0" applyNumberFormat="1" applyFill="1" applyBorder="1" applyAlignment="1">
      <alignment horizontal="left" vertical="center"/>
    </xf>
    <xf numFmtId="166" fontId="9" fillId="0" borderId="2" xfId="0" applyNumberFormat="1" applyFont="1" applyBorder="1" applyAlignment="1">
      <alignment vertical="center"/>
    </xf>
    <xf numFmtId="166" fontId="9" fillId="0" borderId="36" xfId="0" applyNumberFormat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vertical="center"/>
    </xf>
    <xf numFmtId="166" fontId="0" fillId="0" borderId="3" xfId="0" applyNumberFormat="1" applyBorder="1" applyAlignment="1">
      <alignment vertical="center"/>
    </xf>
    <xf numFmtId="166" fontId="0" fillId="0" borderId="7" xfId="0" applyNumberFormat="1" applyBorder="1" applyAlignment="1">
      <alignment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wrapText="1"/>
    </xf>
    <xf numFmtId="0" fontId="9" fillId="0" borderId="37" xfId="0" applyFont="1" applyBorder="1" applyAlignment="1">
      <alignment horizontal="left" vertical="center" wrapText="1"/>
    </xf>
    <xf numFmtId="0" fontId="18" fillId="0" borderId="3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left" vertical="center" wrapText="1"/>
    </xf>
    <xf numFmtId="0" fontId="18" fillId="0" borderId="36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wrapText="1"/>
    </xf>
    <xf numFmtId="0" fontId="9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wrapText="1"/>
    </xf>
    <xf numFmtId="164" fontId="10" fillId="0" borderId="7" xfId="0" applyNumberFormat="1" applyFont="1" applyBorder="1" applyAlignment="1">
      <alignment vertical="center"/>
    </xf>
    <xf numFmtId="0" fontId="0" fillId="0" borderId="38" xfId="0" applyBorder="1" applyAlignment="1">
      <alignment horizontal="center"/>
    </xf>
    <xf numFmtId="166" fontId="0" fillId="0" borderId="38" xfId="0" applyNumberFormat="1" applyBorder="1"/>
    <xf numFmtId="166" fontId="0" fillId="0" borderId="3" xfId="0" applyNumberFormat="1" applyBorder="1"/>
    <xf numFmtId="0" fontId="9" fillId="0" borderId="2" xfId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vertical="center"/>
    </xf>
    <xf numFmtId="0" fontId="9" fillId="0" borderId="37" xfId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164" fontId="0" fillId="0" borderId="37" xfId="0" applyNumberFormat="1" applyBorder="1" applyAlignment="1">
      <alignment horizontal="right" vertical="center"/>
    </xf>
    <xf numFmtId="0" fontId="9" fillId="0" borderId="0" xfId="1" applyFont="1" applyAlignment="1">
      <alignment horizontal="center" wrapText="1"/>
    </xf>
    <xf numFmtId="0" fontId="9" fillId="0" borderId="57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25" xfId="0" applyBorder="1" applyAlignment="1">
      <alignment horizontal="center" vertical="center"/>
    </xf>
    <xf numFmtId="166" fontId="0" fillId="0" borderId="36" xfId="0" applyNumberFormat="1" applyBorder="1" applyAlignment="1">
      <alignment vertical="center"/>
    </xf>
    <xf numFmtId="0" fontId="0" fillId="0" borderId="54" xfId="0" applyBorder="1" applyAlignment="1">
      <alignment horizontal="center" vertical="center"/>
    </xf>
    <xf numFmtId="166" fontId="0" fillId="0" borderId="8" xfId="0" applyNumberFormat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9" fillId="0" borderId="2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5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0" fontId="9" fillId="0" borderId="57" xfId="0" applyFont="1" applyBorder="1" applyAlignment="1">
      <alignment horizontal="center" vertical="center"/>
    </xf>
    <xf numFmtId="164" fontId="0" fillId="0" borderId="37" xfId="0" applyNumberFormat="1" applyBorder="1" applyAlignment="1">
      <alignment vertical="center"/>
    </xf>
    <xf numFmtId="0" fontId="9" fillId="0" borderId="37" xfId="0" applyFont="1" applyBorder="1" applyAlignment="1">
      <alignment horizontal="center" vertical="center"/>
    </xf>
    <xf numFmtId="166" fontId="0" fillId="0" borderId="37" xfId="0" applyNumberFormat="1" applyBorder="1" applyAlignment="1">
      <alignment vertical="center"/>
    </xf>
    <xf numFmtId="166" fontId="9" fillId="0" borderId="8" xfId="0" applyNumberFormat="1" applyFont="1" applyBorder="1" applyAlignment="1">
      <alignment vertical="center"/>
    </xf>
    <xf numFmtId="164" fontId="9" fillId="0" borderId="39" xfId="0" applyNumberFormat="1" applyFont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9" fillId="0" borderId="37" xfId="0" applyFont="1" applyBorder="1" applyAlignment="1">
      <alignment horizontal="center" vertical="center" wrapText="1"/>
    </xf>
    <xf numFmtId="164" fontId="0" fillId="0" borderId="55" xfId="0" applyNumberFormat="1" applyBorder="1" applyAlignment="1">
      <alignment vertical="center"/>
    </xf>
    <xf numFmtId="164" fontId="9" fillId="0" borderId="8" xfId="0" applyNumberFormat="1" applyFont="1" applyBorder="1" applyAlignment="1">
      <alignment vertical="center"/>
    </xf>
    <xf numFmtId="164" fontId="9" fillId="0" borderId="2" xfId="0" applyNumberFormat="1" applyFont="1" applyBorder="1" applyAlignment="1">
      <alignment vertical="center"/>
    </xf>
    <xf numFmtId="0" fontId="9" fillId="0" borderId="38" xfId="0" applyFont="1" applyBorder="1" applyAlignment="1">
      <alignment horizontal="center" vertical="center"/>
    </xf>
    <xf numFmtId="166" fontId="9" fillId="0" borderId="3" xfId="0" applyNumberFormat="1" applyFont="1" applyBorder="1" applyAlignment="1">
      <alignment vertical="center"/>
    </xf>
    <xf numFmtId="0" fontId="9" fillId="0" borderId="36" xfId="0" applyFont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7" fillId="2" borderId="0" xfId="0" applyFont="1" applyFill="1" applyAlignment="1">
      <alignment vertical="center"/>
    </xf>
    <xf numFmtId="0" fontId="9" fillId="0" borderId="3" xfId="0" applyFont="1" applyBorder="1" applyAlignment="1">
      <alignment horizontal="left" vertical="center" wrapText="1"/>
    </xf>
    <xf numFmtId="0" fontId="27" fillId="12" borderId="7" xfId="0" applyFont="1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12" borderId="7" xfId="0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64" fontId="0" fillId="3" borderId="11" xfId="0" applyNumberFormat="1" applyFill="1" applyBorder="1" applyAlignment="1">
      <alignment horizontal="right" vertical="center"/>
    </xf>
    <xf numFmtId="164" fontId="3" fillId="3" borderId="7" xfId="0" applyNumberFormat="1" applyFont="1" applyFill="1" applyBorder="1" applyAlignment="1">
      <alignment horizontal="right" vertical="center"/>
    </xf>
    <xf numFmtId="0" fontId="9" fillId="0" borderId="58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/>
    </xf>
    <xf numFmtId="164" fontId="9" fillId="0" borderId="38" xfId="0" applyNumberFormat="1" applyFont="1" applyBorder="1" applyAlignment="1">
      <alignment vertical="center"/>
    </xf>
    <xf numFmtId="0" fontId="19" fillId="0" borderId="37" xfId="0" applyFont="1" applyBorder="1" applyAlignment="1">
      <alignment horizontal="center" wrapText="1"/>
    </xf>
    <xf numFmtId="0" fontId="19" fillId="0" borderId="36" xfId="0" applyFont="1" applyBorder="1" applyAlignment="1">
      <alignment horizontal="center" wrapText="1"/>
    </xf>
    <xf numFmtId="0" fontId="9" fillId="0" borderId="15" xfId="0" applyFont="1" applyBorder="1" applyAlignment="1">
      <alignment vertical="center"/>
    </xf>
    <xf numFmtId="166" fontId="9" fillId="0" borderId="37" xfId="0" applyNumberFormat="1" applyFont="1" applyBorder="1" applyAlignment="1">
      <alignment vertical="center"/>
    </xf>
    <xf numFmtId="0" fontId="22" fillId="3" borderId="12" xfId="0" applyFont="1" applyFill="1" applyBorder="1" applyAlignment="1">
      <alignment horizontal="center" vertical="center" wrapText="1"/>
    </xf>
    <xf numFmtId="0" fontId="0" fillId="13" borderId="10" xfId="0" applyFill="1" applyBorder="1" applyAlignment="1">
      <alignment horizontal="center" vertical="center"/>
    </xf>
    <xf numFmtId="0" fontId="9" fillId="0" borderId="7" xfId="0" applyFont="1" applyBorder="1" applyAlignment="1">
      <alignment horizontal="center" wrapText="1"/>
    </xf>
    <xf numFmtId="0" fontId="0" fillId="0" borderId="7" xfId="0" applyBorder="1" applyAlignment="1">
      <alignment horizontal="left" vertical="center"/>
    </xf>
    <xf numFmtId="164" fontId="10" fillId="0" borderId="0" xfId="0" applyNumberFormat="1" applyFont="1"/>
    <xf numFmtId="164" fontId="0" fillId="0" borderId="38" xfId="0" applyNumberFormat="1" applyBorder="1"/>
    <xf numFmtId="0" fontId="0" fillId="0" borderId="27" xfId="0" applyBorder="1" applyAlignment="1">
      <alignment horizontal="center" wrapText="1"/>
    </xf>
    <xf numFmtId="0" fontId="9" fillId="0" borderId="7" xfId="0" applyFont="1" applyBorder="1"/>
    <xf numFmtId="0" fontId="9" fillId="0" borderId="37" xfId="0" applyFont="1" applyBorder="1"/>
    <xf numFmtId="0" fontId="9" fillId="0" borderId="36" xfId="0" applyFont="1" applyBorder="1"/>
    <xf numFmtId="0" fontId="0" fillId="0" borderId="21" xfId="0" applyBorder="1" applyAlignment="1">
      <alignment horizontal="center"/>
    </xf>
    <xf numFmtId="164" fontId="10" fillId="0" borderId="36" xfId="0" applyNumberFormat="1" applyFont="1" applyBorder="1"/>
    <xf numFmtId="0" fontId="0" fillId="0" borderId="36" xfId="0" applyBorder="1" applyAlignment="1">
      <alignment horizontal="center"/>
    </xf>
    <xf numFmtId="0" fontId="0" fillId="0" borderId="7" xfId="0" applyBorder="1" applyAlignment="1">
      <alignment horizontal="center"/>
    </xf>
    <xf numFmtId="164" fontId="10" fillId="0" borderId="7" xfId="0" applyNumberFormat="1" applyFont="1" applyBorder="1"/>
    <xf numFmtId="164" fontId="0" fillId="0" borderId="7" xfId="0" applyNumberFormat="1" applyBorder="1"/>
    <xf numFmtId="166" fontId="0" fillId="0" borderId="7" xfId="0" applyNumberFormat="1" applyBorder="1"/>
    <xf numFmtId="0" fontId="9" fillId="0" borderId="56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166" fontId="0" fillId="0" borderId="36" xfId="0" applyNumberFormat="1" applyBorder="1"/>
    <xf numFmtId="164" fontId="0" fillId="0" borderId="3" xfId="0" applyNumberFormat="1" applyBorder="1" applyAlignment="1">
      <alignment horizontal="right"/>
    </xf>
    <xf numFmtId="164" fontId="0" fillId="3" borderId="7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38" xfId="0" applyNumberFormat="1" applyBorder="1" applyAlignment="1">
      <alignment horizontal="right"/>
    </xf>
    <xf numFmtId="166" fontId="0" fillId="0" borderId="38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6" fontId="0" fillId="0" borderId="2" xfId="0" applyNumberFormat="1" applyBorder="1" applyAlignment="1">
      <alignment horizontal="right"/>
    </xf>
    <xf numFmtId="166" fontId="0" fillId="0" borderId="8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9" fillId="0" borderId="38" xfId="0" applyFont="1" applyBorder="1" applyAlignment="1">
      <alignment horizontal="left" vertical="center" wrapText="1"/>
    </xf>
    <xf numFmtId="164" fontId="0" fillId="0" borderId="37" xfId="0" applyNumberFormat="1" applyBorder="1"/>
    <xf numFmtId="164" fontId="0" fillId="0" borderId="36" xfId="0" applyNumberFormat="1" applyBorder="1" applyAlignment="1">
      <alignment horizontal="right"/>
    </xf>
    <xf numFmtId="166" fontId="0" fillId="0" borderId="36" xfId="0" applyNumberFormat="1" applyBorder="1" applyAlignment="1">
      <alignment horizontal="right"/>
    </xf>
    <xf numFmtId="166" fontId="0" fillId="0" borderId="7" xfId="0" applyNumberFormat="1" applyBorder="1" applyAlignment="1">
      <alignment horizontal="right"/>
    </xf>
    <xf numFmtId="0" fontId="9" fillId="0" borderId="38" xfId="0" applyFont="1" applyBorder="1" applyAlignment="1">
      <alignment vertical="center"/>
    </xf>
    <xf numFmtId="166" fontId="31" fillId="0" borderId="1" xfId="0" applyNumberFormat="1" applyFont="1" applyBorder="1" applyAlignment="1">
      <alignment vertical="center"/>
    </xf>
    <xf numFmtId="166" fontId="31" fillId="0" borderId="8" xfId="0" applyNumberFormat="1" applyFont="1" applyBorder="1" applyAlignment="1">
      <alignment vertical="center"/>
    </xf>
    <xf numFmtId="166" fontId="31" fillId="0" borderId="40" xfId="0" applyNumberFormat="1" applyFont="1" applyBorder="1" applyAlignment="1">
      <alignment vertical="center"/>
    </xf>
    <xf numFmtId="166" fontId="32" fillId="0" borderId="8" xfId="0" applyNumberFormat="1" applyFont="1" applyBorder="1" applyAlignment="1">
      <alignment vertical="center"/>
    </xf>
    <xf numFmtId="166" fontId="32" fillId="0" borderId="1" xfId="0" applyNumberFormat="1" applyFont="1" applyBorder="1" applyAlignment="1">
      <alignment vertical="center"/>
    </xf>
    <xf numFmtId="166" fontId="32" fillId="0" borderId="37" xfId="0" applyNumberFormat="1" applyFont="1" applyBorder="1" applyAlignment="1">
      <alignment vertical="center"/>
    </xf>
    <xf numFmtId="166" fontId="31" fillId="0" borderId="3" xfId="0" applyNumberFormat="1" applyFont="1" applyBorder="1"/>
    <xf numFmtId="166" fontId="31" fillId="0" borderId="8" xfId="0" applyNumberFormat="1" applyFont="1" applyBorder="1"/>
    <xf numFmtId="166" fontId="0" fillId="0" borderId="8" xfId="0" applyNumberFormat="1" applyBorder="1"/>
    <xf numFmtId="164" fontId="0" fillId="18" borderId="9" xfId="0" applyNumberFormat="1" applyFill="1" applyBorder="1" applyAlignment="1">
      <alignment horizontal="right" vertical="center"/>
    </xf>
    <xf numFmtId="0" fontId="0" fillId="0" borderId="55" xfId="0" applyBorder="1"/>
    <xf numFmtId="0" fontId="0" fillId="3" borderId="26" xfId="0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13" fillId="0" borderId="37" xfId="0" applyNumberFormat="1" applyFont="1" applyBorder="1" applyAlignment="1">
      <alignment vertical="center"/>
    </xf>
    <xf numFmtId="164" fontId="10" fillId="0" borderId="36" xfId="0" applyNumberFormat="1" applyFont="1" applyBorder="1" applyAlignment="1">
      <alignment vertical="center"/>
    </xf>
    <xf numFmtId="164" fontId="0" fillId="0" borderId="36" xfId="0" applyNumberFormat="1" applyBorder="1" applyAlignment="1">
      <alignment vertical="center"/>
    </xf>
    <xf numFmtId="0" fontId="14" fillId="11" borderId="10" xfId="0" applyFont="1" applyFill="1" applyBorder="1" applyAlignment="1">
      <alignment horizontal="left"/>
    </xf>
    <xf numFmtId="0" fontId="14" fillId="11" borderId="11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14" fillId="4" borderId="10" xfId="0" applyFont="1" applyFill="1" applyBorder="1" applyAlignment="1">
      <alignment horizontal="left"/>
    </xf>
    <xf numFmtId="0" fontId="14" fillId="4" borderId="11" xfId="0" applyFont="1" applyFill="1" applyBorder="1" applyAlignment="1">
      <alignment horizontal="left"/>
    </xf>
    <xf numFmtId="0" fontId="14" fillId="5" borderId="10" xfId="0" applyFont="1" applyFill="1" applyBorder="1" applyAlignment="1">
      <alignment horizontal="left"/>
    </xf>
    <xf numFmtId="0" fontId="14" fillId="5" borderId="11" xfId="0" applyFont="1" applyFill="1" applyBorder="1" applyAlignment="1">
      <alignment horizontal="left"/>
    </xf>
    <xf numFmtId="0" fontId="14" fillId="6" borderId="10" xfId="0" applyFont="1" applyFill="1" applyBorder="1" applyAlignment="1">
      <alignment horizontal="left"/>
    </xf>
    <xf numFmtId="0" fontId="14" fillId="6" borderId="11" xfId="0" applyFont="1" applyFill="1" applyBorder="1" applyAlignment="1">
      <alignment horizontal="left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4" fillId="9" borderId="10" xfId="0" applyFont="1" applyFill="1" applyBorder="1" applyAlignment="1">
      <alignment horizontal="left"/>
    </xf>
    <xf numFmtId="0" fontId="14" fillId="9" borderId="11" xfId="0" applyFont="1" applyFill="1" applyBorder="1" applyAlignment="1">
      <alignment horizontal="left"/>
    </xf>
    <xf numFmtId="0" fontId="14" fillId="7" borderId="10" xfId="0" applyFont="1" applyFill="1" applyBorder="1" applyAlignment="1">
      <alignment horizontal="left"/>
    </xf>
    <xf numFmtId="0" fontId="14" fillId="7" borderId="11" xfId="0" applyFont="1" applyFill="1" applyBorder="1" applyAlignment="1">
      <alignment horizontal="left"/>
    </xf>
    <xf numFmtId="0" fontId="14" fillId="10" borderId="10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left"/>
    </xf>
    <xf numFmtId="0" fontId="14" fillId="8" borderId="10" xfId="0" applyFont="1" applyFill="1" applyBorder="1" applyAlignment="1">
      <alignment horizontal="left"/>
    </xf>
    <xf numFmtId="0" fontId="14" fillId="8" borderId="11" xfId="0" applyFont="1" applyFill="1" applyBorder="1" applyAlignment="1">
      <alignment horizontal="left"/>
    </xf>
    <xf numFmtId="0" fontId="7" fillId="2" borderId="25" xfId="0" applyFont="1" applyFill="1" applyBorder="1" applyAlignment="1">
      <alignment horizontal="left"/>
    </xf>
    <xf numFmtId="0" fontId="7" fillId="2" borderId="26" xfId="0" applyFont="1" applyFill="1" applyBorder="1" applyAlignment="1">
      <alignment horizontal="left"/>
    </xf>
    <xf numFmtId="0" fontId="15" fillId="2" borderId="14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64" fontId="25" fillId="2" borderId="0" xfId="0" applyNumberFormat="1" applyFont="1" applyFill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5" fillId="2" borderId="42" xfId="0" applyFont="1" applyFill="1" applyBorder="1" applyAlignment="1">
      <alignment horizontal="center" vertical="center"/>
    </xf>
    <xf numFmtId="0" fontId="15" fillId="2" borderId="43" xfId="0" applyFont="1" applyFill="1" applyBorder="1" applyAlignment="1">
      <alignment horizontal="center" vertical="center"/>
    </xf>
    <xf numFmtId="0" fontId="15" fillId="2" borderId="44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0" fillId="0" borderId="38" xfId="0" applyNumberFormat="1" applyBorder="1" applyAlignment="1">
      <alignment horizontal="right" vertical="center"/>
    </xf>
    <xf numFmtId="164" fontId="0" fillId="0" borderId="36" xfId="0" applyNumberFormat="1" applyBorder="1" applyAlignment="1">
      <alignment horizontal="right" vertical="center"/>
    </xf>
    <xf numFmtId="164" fontId="0" fillId="0" borderId="27" xfId="0" applyNumberFormat="1" applyBorder="1" applyAlignment="1">
      <alignment horizontal="right" vertical="center"/>
    </xf>
    <xf numFmtId="164" fontId="0" fillId="0" borderId="48" xfId="0" applyNumberFormat="1" applyBorder="1" applyAlignment="1">
      <alignment horizontal="right" vertical="center"/>
    </xf>
    <xf numFmtId="0" fontId="14" fillId="4" borderId="10" xfId="0" applyFont="1" applyFill="1" applyBorder="1"/>
    <xf numFmtId="0" fontId="14" fillId="4" borderId="11" xfId="0" applyFont="1" applyFill="1" applyBorder="1"/>
    <xf numFmtId="0" fontId="14" fillId="4" borderId="12" xfId="0" applyFont="1" applyFill="1" applyBorder="1"/>
    <xf numFmtId="0" fontId="12" fillId="16" borderId="10" xfId="0" applyFont="1" applyFill="1" applyBorder="1" applyAlignment="1">
      <alignment horizontal="left"/>
    </xf>
    <xf numFmtId="0" fontId="12" fillId="16" borderId="11" xfId="0" applyFont="1" applyFill="1" applyBorder="1" applyAlignment="1">
      <alignment horizontal="left"/>
    </xf>
    <xf numFmtId="0" fontId="0" fillId="3" borderId="10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9" fillId="0" borderId="7" xfId="1" applyFont="1" applyBorder="1" applyAlignment="1">
      <alignment horizontal="center" vertical="center" wrapText="1"/>
    </xf>
    <xf numFmtId="0" fontId="9" fillId="0" borderId="55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center" wrapText="1"/>
    </xf>
    <xf numFmtId="0" fontId="9" fillId="0" borderId="48" xfId="1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0" fillId="0" borderId="37" xfId="0" applyNumberFormat="1" applyBorder="1" applyAlignment="1">
      <alignment horizontal="right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164" fontId="9" fillId="0" borderId="37" xfId="0" applyNumberFormat="1" applyFont="1" applyBorder="1" applyAlignment="1">
      <alignment horizontal="right" vertical="center"/>
    </xf>
    <xf numFmtId="164" fontId="9" fillId="0" borderId="38" xfId="0" applyNumberFormat="1" applyFont="1" applyBorder="1" applyAlignment="1">
      <alignment horizontal="right" vertical="center"/>
    </xf>
    <xf numFmtId="164" fontId="9" fillId="0" borderId="36" xfId="0" applyNumberFormat="1" applyFont="1" applyBorder="1" applyAlignment="1">
      <alignment horizontal="right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4" fillId="6" borderId="12" xfId="0" applyFont="1" applyFill="1" applyBorder="1" applyAlignment="1">
      <alignment horizontal="left"/>
    </xf>
    <xf numFmtId="0" fontId="14" fillId="5" borderId="12" xfId="0" applyFont="1" applyFill="1" applyBorder="1" applyAlignment="1">
      <alignment horizontal="left"/>
    </xf>
    <xf numFmtId="0" fontId="14" fillId="9" borderId="12" xfId="0" applyFont="1" applyFill="1" applyBorder="1" applyAlignment="1">
      <alignment horizontal="left"/>
    </xf>
    <xf numFmtId="0" fontId="9" fillId="0" borderId="37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166" fontId="0" fillId="0" borderId="7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9">
    <cellStyle name="Normal" xfId="0" builtinId="0"/>
    <cellStyle name="Normal 2" xfId="1" xr:uid="{E20B9B1B-60CF-4CA4-898C-2ECB3FEDD6E8}"/>
    <cellStyle name="Normal 2 2" xfId="4" xr:uid="{F2398E42-BBF4-429C-A4EC-AC2FB4E73035}"/>
    <cellStyle name="Normal 2 2 2" xfId="8" xr:uid="{2758C9B0-9CBA-4137-936B-B1F8830861EE}"/>
    <cellStyle name="Normal 2 3" xfId="6" xr:uid="{33F662F5-C43C-47B0-9B83-20BF51CF71EA}"/>
    <cellStyle name="Normal 3" xfId="3" xr:uid="{3B56BB72-F70F-43A6-8100-FEB499709B9C}"/>
    <cellStyle name="Normal 3 2" xfId="7" xr:uid="{E238F269-CEF2-4EE4-BBD4-169F91881E98}"/>
    <cellStyle name="Normal 4" xfId="5" xr:uid="{8355ABAC-6ACF-4ADD-AD43-E490EC11219B}"/>
    <cellStyle name="Pourcentage" xfId="2" builtinId="5"/>
  </cellStyles>
  <dxfs count="3">
    <dxf>
      <font>
        <b/>
        <i val="0"/>
        <strike val="0"/>
        <color rgb="FF00B050"/>
      </font>
    </dxf>
    <dxf>
      <font>
        <b/>
        <i val="0"/>
        <strike val="0"/>
        <color rgb="FF00B050"/>
      </font>
    </dxf>
    <dxf>
      <font>
        <b/>
        <i val="0"/>
        <strike val="0"/>
        <color rgb="FF00B050"/>
      </font>
    </dxf>
  </dxfs>
  <tableStyles count="0" defaultTableStyle="TableStyleMedium2" defaultPivotStyle="PivotStyleLight16"/>
  <colors>
    <mruColors>
      <color rgb="FFC8A486"/>
      <color rgb="FF84CAE6"/>
      <color rgb="FFC2A1C9"/>
      <color rgb="FFDF84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2E78D-6D7F-4927-9C64-9E1DDA14BC84}">
  <sheetPr>
    <pageSetUpPr fitToPage="1"/>
  </sheetPr>
  <dimension ref="B1:M257"/>
  <sheetViews>
    <sheetView topLeftCell="A24" workbookViewId="0">
      <selection activeCell="I173" sqref="I173"/>
    </sheetView>
  </sheetViews>
  <sheetFormatPr baseColWidth="10" defaultRowHeight="12.75" x14ac:dyDescent="0.2"/>
  <cols>
    <col min="1" max="1" width="4.140625" customWidth="1"/>
    <col min="2" max="3" width="7.85546875" customWidth="1"/>
    <col min="4" max="4" width="35.5703125" style="33" customWidth="1"/>
    <col min="5" max="5" width="6.42578125" style="11" customWidth="1"/>
    <col min="6" max="6" width="10.85546875" style="6"/>
    <col min="7" max="7" width="16.140625" style="6" bestFit="1" customWidth="1"/>
    <col min="8" max="8" width="1.5703125" customWidth="1"/>
    <col min="13" max="13" width="12" bestFit="1" customWidth="1"/>
  </cols>
  <sheetData>
    <row r="1" spans="2:9" ht="16.5" thickBot="1" x14ac:dyDescent="0.3">
      <c r="B1" s="2" t="s">
        <v>0</v>
      </c>
      <c r="C1" s="2"/>
      <c r="D1" s="30"/>
      <c r="E1" s="9"/>
      <c r="F1" s="5"/>
      <c r="G1" s="5"/>
      <c r="H1" s="2"/>
      <c r="I1" s="2"/>
    </row>
    <row r="2" spans="2:9" ht="26.25" thickBot="1" x14ac:dyDescent="0.4">
      <c r="B2" s="1"/>
      <c r="C2" s="1"/>
      <c r="D2" s="31"/>
      <c r="E2" s="539" t="s">
        <v>63</v>
      </c>
      <c r="F2" s="540"/>
      <c r="G2" s="541"/>
    </row>
    <row r="3" spans="2:9" ht="15" x14ac:dyDescent="0.2">
      <c r="B3" s="3" t="s">
        <v>1</v>
      </c>
      <c r="C3" s="165" t="s">
        <v>634</v>
      </c>
      <c r="D3" s="32" t="s">
        <v>2</v>
      </c>
      <c r="E3" s="10" t="s">
        <v>3</v>
      </c>
      <c r="F3" s="7" t="s">
        <v>4</v>
      </c>
      <c r="G3" s="7" t="s">
        <v>5</v>
      </c>
      <c r="I3" t="s">
        <v>619</v>
      </c>
    </row>
    <row r="4" spans="2:9" ht="3" customHeight="1" x14ac:dyDescent="0.2"/>
    <row r="5" spans="2:9" ht="20.25" x14ac:dyDescent="0.3">
      <c r="B5" s="532" t="s">
        <v>6</v>
      </c>
      <c r="C5" s="532"/>
      <c r="D5" s="532"/>
      <c r="E5" s="532"/>
      <c r="F5" s="532"/>
      <c r="G5" s="8">
        <f>G7+G17+G39+G67+G167+G119+G173+G195+G223</f>
        <v>5500.0999999999995</v>
      </c>
    </row>
    <row r="6" spans="2:9" ht="3.75" customHeight="1" x14ac:dyDescent="0.2"/>
    <row r="7" spans="2:9" ht="18" x14ac:dyDescent="0.25">
      <c r="B7" s="533" t="s">
        <v>7</v>
      </c>
      <c r="C7" s="534"/>
      <c r="D7" s="534"/>
      <c r="E7" s="534"/>
      <c r="F7" s="534"/>
      <c r="G7" s="29">
        <f>G8+G14</f>
        <v>179.40999999999997</v>
      </c>
    </row>
    <row r="8" spans="2:9" s="4" customFormat="1" x14ac:dyDescent="0.2">
      <c r="B8" s="24"/>
      <c r="C8" s="164"/>
      <c r="D8" s="34" t="s">
        <v>8</v>
      </c>
      <c r="E8" s="25"/>
      <c r="F8" s="26"/>
      <c r="G8" s="27">
        <f>SUM(G9:G13)</f>
        <v>99.499999999999986</v>
      </c>
    </row>
    <row r="9" spans="2:9" x14ac:dyDescent="0.2">
      <c r="B9" s="13" t="s">
        <v>9</v>
      </c>
      <c r="C9" s="166" t="s">
        <v>635</v>
      </c>
      <c r="D9" s="35" t="s">
        <v>15</v>
      </c>
      <c r="E9" s="14">
        <v>1</v>
      </c>
      <c r="F9" s="15">
        <v>65.25</v>
      </c>
      <c r="G9" s="16">
        <f>E9*F9</f>
        <v>65.25</v>
      </c>
    </row>
    <row r="10" spans="2:9" x14ac:dyDescent="0.2">
      <c r="B10" s="17" t="s">
        <v>20</v>
      </c>
      <c r="C10" s="124" t="s">
        <v>635</v>
      </c>
      <c r="D10" s="36" t="s">
        <v>17</v>
      </c>
      <c r="E10" s="18">
        <v>1</v>
      </c>
      <c r="F10" s="12">
        <v>5.14</v>
      </c>
      <c r="G10" s="19">
        <f t="shared" ref="G10:G13" si="0">E10*F10</f>
        <v>5.14</v>
      </c>
    </row>
    <row r="11" spans="2:9" x14ac:dyDescent="0.2">
      <c r="B11" s="17" t="s">
        <v>21</v>
      </c>
      <c r="C11" s="124" t="s">
        <v>635</v>
      </c>
      <c r="D11" s="36" t="s">
        <v>17</v>
      </c>
      <c r="E11" s="18">
        <v>1</v>
      </c>
      <c r="F11" s="12">
        <v>10.63</v>
      </c>
      <c r="G11" s="19">
        <f t="shared" si="0"/>
        <v>10.63</v>
      </c>
    </row>
    <row r="12" spans="2:9" x14ac:dyDescent="0.2">
      <c r="B12" s="17" t="s">
        <v>11</v>
      </c>
      <c r="C12" s="124" t="s">
        <v>635</v>
      </c>
      <c r="D12" s="36" t="s">
        <v>18</v>
      </c>
      <c r="E12" s="18">
        <v>1</v>
      </c>
      <c r="F12" s="12">
        <v>12.24</v>
      </c>
      <c r="G12" s="19">
        <f t="shared" si="0"/>
        <v>12.24</v>
      </c>
    </row>
    <row r="13" spans="2:9" x14ac:dyDescent="0.2">
      <c r="B13" s="17" t="s">
        <v>12</v>
      </c>
      <c r="C13" s="124" t="s">
        <v>635</v>
      </c>
      <c r="D13" s="36" t="s">
        <v>19</v>
      </c>
      <c r="E13" s="18">
        <v>1</v>
      </c>
      <c r="F13" s="12">
        <v>6.24</v>
      </c>
      <c r="G13" s="19">
        <f t="shared" si="0"/>
        <v>6.24</v>
      </c>
    </row>
    <row r="14" spans="2:9" s="4" customFormat="1" x14ac:dyDescent="0.2">
      <c r="B14" s="24"/>
      <c r="C14" s="164"/>
      <c r="D14" s="34" t="s">
        <v>415</v>
      </c>
      <c r="E14" s="25"/>
      <c r="F14" s="26"/>
      <c r="G14" s="27">
        <f>SUM(G15:G16)</f>
        <v>79.91</v>
      </c>
    </row>
    <row r="15" spans="2:9" x14ac:dyDescent="0.2">
      <c r="B15" s="13" t="s">
        <v>13</v>
      </c>
      <c r="C15" s="166" t="s">
        <v>636</v>
      </c>
      <c r="D15" s="35" t="s">
        <v>14</v>
      </c>
      <c r="E15" s="14">
        <v>1</v>
      </c>
      <c r="F15" s="15">
        <v>35</v>
      </c>
      <c r="G15" s="16">
        <f>E15*F15</f>
        <v>35</v>
      </c>
    </row>
    <row r="16" spans="2:9" x14ac:dyDescent="0.2">
      <c r="B16" s="17" t="s">
        <v>10</v>
      </c>
      <c r="C16" s="124" t="s">
        <v>635</v>
      </c>
      <c r="D16" s="36" t="s">
        <v>16</v>
      </c>
      <c r="E16" s="18">
        <v>1</v>
      </c>
      <c r="F16" s="12">
        <v>44.91</v>
      </c>
      <c r="G16" s="19">
        <f>E16*F16</f>
        <v>44.91</v>
      </c>
    </row>
    <row r="17" spans="2:7" ht="18" x14ac:dyDescent="0.25">
      <c r="B17" s="535" t="s">
        <v>416</v>
      </c>
      <c r="C17" s="536"/>
      <c r="D17" s="536"/>
      <c r="E17" s="536"/>
      <c r="F17" s="536"/>
      <c r="G17" s="28">
        <f>G18+G21+G24</f>
        <v>383</v>
      </c>
    </row>
    <row r="18" spans="2:7" s="4" customFormat="1" x14ac:dyDescent="0.2">
      <c r="B18" s="24"/>
      <c r="C18" s="164"/>
      <c r="D18" s="34" t="s">
        <v>110</v>
      </c>
      <c r="E18" s="25"/>
      <c r="F18" s="26"/>
      <c r="G18" s="27">
        <f>SUM(G19:G20)</f>
        <v>51.1</v>
      </c>
    </row>
    <row r="19" spans="2:7" x14ac:dyDescent="0.2">
      <c r="B19" s="13" t="s">
        <v>33</v>
      </c>
      <c r="C19" s="166" t="s">
        <v>635</v>
      </c>
      <c r="D19" s="35" t="s">
        <v>15</v>
      </c>
      <c r="E19" s="14">
        <v>1</v>
      </c>
      <c r="F19" s="15">
        <v>31.25</v>
      </c>
      <c r="G19" s="16">
        <f>E19*F19</f>
        <v>31.25</v>
      </c>
    </row>
    <row r="20" spans="2:7" x14ac:dyDescent="0.2">
      <c r="B20" s="17" t="s">
        <v>34</v>
      </c>
      <c r="C20" s="124" t="s">
        <v>635</v>
      </c>
      <c r="D20" s="36" t="s">
        <v>50</v>
      </c>
      <c r="E20" s="18">
        <v>1</v>
      </c>
      <c r="F20" s="12">
        <v>19.850000000000001</v>
      </c>
      <c r="G20" s="19">
        <f>E20*F20</f>
        <v>19.850000000000001</v>
      </c>
    </row>
    <row r="21" spans="2:7" s="4" customFormat="1" x14ac:dyDescent="0.2">
      <c r="B21" s="24"/>
      <c r="C21" s="164"/>
      <c r="D21" s="34" t="s">
        <v>111</v>
      </c>
      <c r="E21" s="25"/>
      <c r="F21" s="26"/>
      <c r="G21" s="27">
        <f>SUM(G22:G23)</f>
        <v>53.5</v>
      </c>
    </row>
    <row r="22" spans="2:7" x14ac:dyDescent="0.2">
      <c r="B22" s="13" t="s">
        <v>26</v>
      </c>
      <c r="C22" s="166" t="s">
        <v>635</v>
      </c>
      <c r="D22" s="35" t="s">
        <v>43</v>
      </c>
      <c r="E22" s="14">
        <v>1</v>
      </c>
      <c r="F22" s="15">
        <v>36.200000000000003</v>
      </c>
      <c r="G22" s="16">
        <f>E22*F22</f>
        <v>36.200000000000003</v>
      </c>
    </row>
    <row r="23" spans="2:7" x14ac:dyDescent="0.2">
      <c r="B23" s="17" t="s">
        <v>28</v>
      </c>
      <c r="C23" s="124" t="s">
        <v>635</v>
      </c>
      <c r="D23" s="36" t="s">
        <v>45</v>
      </c>
      <c r="E23" s="18">
        <v>1</v>
      </c>
      <c r="F23" s="12">
        <v>17.3</v>
      </c>
      <c r="G23" s="19">
        <f>E23*F23</f>
        <v>17.3</v>
      </c>
    </row>
    <row r="24" spans="2:7" s="4" customFormat="1" x14ac:dyDescent="0.2">
      <c r="B24" s="24"/>
      <c r="C24" s="164"/>
      <c r="D24" s="34" t="s">
        <v>112</v>
      </c>
      <c r="E24" s="25"/>
      <c r="F24" s="26"/>
      <c r="G24" s="27">
        <f>SUM(G25:G38)</f>
        <v>278.39999999999998</v>
      </c>
    </row>
    <row r="25" spans="2:7" x14ac:dyDescent="0.2">
      <c r="B25" s="13" t="s">
        <v>27</v>
      </c>
      <c r="C25" s="166" t="s">
        <v>635</v>
      </c>
      <c r="D25" s="35" t="s">
        <v>44</v>
      </c>
      <c r="E25" s="14">
        <v>1</v>
      </c>
      <c r="F25" s="15">
        <v>25.65</v>
      </c>
      <c r="G25" s="16">
        <f t="shared" ref="G25:G37" si="1">E25*F25</f>
        <v>25.65</v>
      </c>
    </row>
    <row r="26" spans="2:7" x14ac:dyDescent="0.2">
      <c r="B26" s="17" t="s">
        <v>29</v>
      </c>
      <c r="C26" s="124" t="s">
        <v>635</v>
      </c>
      <c r="D26" s="36" t="s">
        <v>46</v>
      </c>
      <c r="E26" s="18">
        <v>1</v>
      </c>
      <c r="F26" s="12">
        <v>50.2</v>
      </c>
      <c r="G26" s="19">
        <f t="shared" si="1"/>
        <v>50.2</v>
      </c>
    </row>
    <row r="27" spans="2:7" x14ac:dyDescent="0.2">
      <c r="B27" s="17" t="s">
        <v>30</v>
      </c>
      <c r="C27" s="124" t="s">
        <v>635</v>
      </c>
      <c r="D27" s="36" t="s">
        <v>47</v>
      </c>
      <c r="E27" s="18">
        <v>1</v>
      </c>
      <c r="F27" s="12">
        <v>12.9</v>
      </c>
      <c r="G27" s="19">
        <f t="shared" si="1"/>
        <v>12.9</v>
      </c>
    </row>
    <row r="28" spans="2:7" x14ac:dyDescent="0.2">
      <c r="B28" s="17" t="s">
        <v>31</v>
      </c>
      <c r="C28" s="124" t="s">
        <v>635</v>
      </c>
      <c r="D28" s="36" t="s">
        <v>48</v>
      </c>
      <c r="E28" s="18">
        <v>1</v>
      </c>
      <c r="F28" s="12">
        <v>13.35</v>
      </c>
      <c r="G28" s="19">
        <f t="shared" si="1"/>
        <v>13.35</v>
      </c>
    </row>
    <row r="29" spans="2:7" x14ac:dyDescent="0.2">
      <c r="B29" s="17" t="s">
        <v>32</v>
      </c>
      <c r="C29" s="124" t="s">
        <v>635</v>
      </c>
      <c r="D29" s="36" t="s">
        <v>49</v>
      </c>
      <c r="E29" s="18">
        <v>1</v>
      </c>
      <c r="F29" s="12">
        <v>20.5</v>
      </c>
      <c r="G29" s="19">
        <f t="shared" si="1"/>
        <v>20.5</v>
      </c>
    </row>
    <row r="30" spans="2:7" x14ac:dyDescent="0.2">
      <c r="B30" s="17" t="s">
        <v>35</v>
      </c>
      <c r="C30" s="124" t="s">
        <v>636</v>
      </c>
      <c r="D30" s="37" t="s">
        <v>51</v>
      </c>
      <c r="E30" s="18">
        <v>1</v>
      </c>
      <c r="F30" s="12">
        <v>18.7</v>
      </c>
      <c r="G30" s="19">
        <f t="shared" si="1"/>
        <v>18.7</v>
      </c>
    </row>
    <row r="31" spans="2:7" x14ac:dyDescent="0.2">
      <c r="B31" s="17" t="s">
        <v>36</v>
      </c>
      <c r="C31" s="124" t="s">
        <v>636</v>
      </c>
      <c r="D31" s="37" t="s">
        <v>52</v>
      </c>
      <c r="E31" s="18">
        <v>1</v>
      </c>
      <c r="F31" s="12">
        <v>12.8</v>
      </c>
      <c r="G31" s="19">
        <f t="shared" si="1"/>
        <v>12.8</v>
      </c>
    </row>
    <row r="32" spans="2:7" x14ac:dyDescent="0.2">
      <c r="B32" s="17" t="s">
        <v>37</v>
      </c>
      <c r="C32" s="124" t="s">
        <v>636</v>
      </c>
      <c r="D32" s="37" t="s">
        <v>53</v>
      </c>
      <c r="E32" s="18">
        <v>1</v>
      </c>
      <c r="F32" s="12">
        <v>10</v>
      </c>
      <c r="G32" s="19">
        <f t="shared" si="1"/>
        <v>10</v>
      </c>
    </row>
    <row r="33" spans="2:7" x14ac:dyDescent="0.2">
      <c r="B33" s="17" t="s">
        <v>38</v>
      </c>
      <c r="C33" s="124" t="s">
        <v>636</v>
      </c>
      <c r="D33" s="37" t="s">
        <v>54</v>
      </c>
      <c r="E33" s="18">
        <v>1</v>
      </c>
      <c r="F33" s="12">
        <v>16.7</v>
      </c>
      <c r="G33" s="19">
        <f t="shared" si="1"/>
        <v>16.7</v>
      </c>
    </row>
    <row r="34" spans="2:7" x14ac:dyDescent="0.2">
      <c r="B34" s="17" t="s">
        <v>39</v>
      </c>
      <c r="C34" s="124" t="s">
        <v>636</v>
      </c>
      <c r="D34" s="37" t="s">
        <v>55</v>
      </c>
      <c r="E34" s="18">
        <v>1</v>
      </c>
      <c r="F34" s="12">
        <v>20.6</v>
      </c>
      <c r="G34" s="19">
        <f t="shared" si="1"/>
        <v>20.6</v>
      </c>
    </row>
    <row r="35" spans="2:7" x14ac:dyDescent="0.2">
      <c r="B35" s="17" t="s">
        <v>40</v>
      </c>
      <c r="C35" s="124" t="s">
        <v>636</v>
      </c>
      <c r="D35" s="38" t="s">
        <v>56</v>
      </c>
      <c r="E35" s="18">
        <v>1</v>
      </c>
      <c r="F35" s="12">
        <v>11.7</v>
      </c>
      <c r="G35" s="19">
        <f t="shared" si="1"/>
        <v>11.7</v>
      </c>
    </row>
    <row r="36" spans="2:7" x14ac:dyDescent="0.2">
      <c r="B36" s="17" t="s">
        <v>41</v>
      </c>
      <c r="C36" s="124" t="s">
        <v>636</v>
      </c>
      <c r="D36" s="38" t="s">
        <v>57</v>
      </c>
      <c r="E36" s="18">
        <v>1</v>
      </c>
      <c r="F36" s="12">
        <v>20.100000000000001</v>
      </c>
      <c r="G36" s="19">
        <f t="shared" si="1"/>
        <v>20.100000000000001</v>
      </c>
    </row>
    <row r="37" spans="2:7" x14ac:dyDescent="0.2">
      <c r="B37" s="17" t="s">
        <v>42</v>
      </c>
      <c r="C37" s="124" t="s">
        <v>636</v>
      </c>
      <c r="D37" s="38" t="s">
        <v>58</v>
      </c>
      <c r="E37" s="18">
        <v>1</v>
      </c>
      <c r="F37" s="12">
        <v>22.8</v>
      </c>
      <c r="G37" s="19">
        <f t="shared" si="1"/>
        <v>22.8</v>
      </c>
    </row>
    <row r="38" spans="2:7" x14ac:dyDescent="0.2">
      <c r="B38" s="20" t="s">
        <v>412</v>
      </c>
      <c r="C38" s="124" t="s">
        <v>635</v>
      </c>
      <c r="D38" s="39" t="s">
        <v>88</v>
      </c>
      <c r="E38" s="21">
        <v>1</v>
      </c>
      <c r="F38" s="22">
        <v>22.4</v>
      </c>
      <c r="G38" s="23">
        <f t="shared" ref="G38" si="2">E38*F38</f>
        <v>22.4</v>
      </c>
    </row>
    <row r="39" spans="2:7" ht="18" x14ac:dyDescent="0.25">
      <c r="B39" s="537" t="s">
        <v>62</v>
      </c>
      <c r="C39" s="538"/>
      <c r="D39" s="538"/>
      <c r="E39" s="538"/>
      <c r="F39" s="538"/>
      <c r="G39" s="40">
        <f>G40+G61+G63</f>
        <v>455.72000000000008</v>
      </c>
    </row>
    <row r="40" spans="2:7" s="4" customFormat="1" x14ac:dyDescent="0.2">
      <c r="B40" s="24"/>
      <c r="C40" s="164"/>
      <c r="D40" s="34" t="s">
        <v>112</v>
      </c>
      <c r="E40" s="25"/>
      <c r="F40" s="26"/>
      <c r="G40" s="27">
        <f>SUM(G41:G60)</f>
        <v>355.87000000000006</v>
      </c>
    </row>
    <row r="41" spans="2:7" x14ac:dyDescent="0.2">
      <c r="B41" s="17" t="s">
        <v>64</v>
      </c>
      <c r="C41" s="128" t="s">
        <v>635</v>
      </c>
      <c r="D41" s="37" t="s">
        <v>65</v>
      </c>
      <c r="E41" s="18">
        <v>1</v>
      </c>
      <c r="F41" s="12">
        <v>24.9</v>
      </c>
      <c r="G41" s="19">
        <f t="shared" ref="G41:G66" si="3">E41*F41</f>
        <v>24.9</v>
      </c>
    </row>
    <row r="42" spans="2:7" x14ac:dyDescent="0.2">
      <c r="B42" s="17" t="s">
        <v>66</v>
      </c>
      <c r="C42" s="128" t="s">
        <v>635</v>
      </c>
      <c r="D42" s="37" t="s">
        <v>67</v>
      </c>
      <c r="E42" s="18">
        <v>1</v>
      </c>
      <c r="F42" s="12">
        <v>9.5</v>
      </c>
      <c r="G42" s="19">
        <f t="shared" si="3"/>
        <v>9.5</v>
      </c>
    </row>
    <row r="43" spans="2:7" x14ac:dyDescent="0.2">
      <c r="B43" s="17" t="s">
        <v>68</v>
      </c>
      <c r="C43" s="128" t="s">
        <v>635</v>
      </c>
      <c r="D43" s="37" t="s">
        <v>69</v>
      </c>
      <c r="E43" s="18">
        <v>1</v>
      </c>
      <c r="F43" s="12">
        <v>17.3</v>
      </c>
      <c r="G43" s="19">
        <f t="shared" si="3"/>
        <v>17.3</v>
      </c>
    </row>
    <row r="44" spans="2:7" x14ac:dyDescent="0.2">
      <c r="B44" s="17" t="s">
        <v>72</v>
      </c>
      <c r="C44" s="128" t="s">
        <v>635</v>
      </c>
      <c r="D44" s="37" t="s">
        <v>73</v>
      </c>
      <c r="E44" s="18">
        <v>1</v>
      </c>
      <c r="F44" s="12">
        <v>20.9</v>
      </c>
      <c r="G44" s="19">
        <f t="shared" si="3"/>
        <v>20.9</v>
      </c>
    </row>
    <row r="45" spans="2:7" x14ac:dyDescent="0.2">
      <c r="B45" s="17" t="s">
        <v>74</v>
      </c>
      <c r="C45" s="128" t="s">
        <v>635</v>
      </c>
      <c r="D45" s="37" t="s">
        <v>75</v>
      </c>
      <c r="E45" s="18">
        <v>1</v>
      </c>
      <c r="F45" s="12">
        <v>52.2</v>
      </c>
      <c r="G45" s="19">
        <f t="shared" si="3"/>
        <v>52.2</v>
      </c>
    </row>
    <row r="46" spans="2:7" x14ac:dyDescent="0.2">
      <c r="B46" s="17" t="s">
        <v>76</v>
      </c>
      <c r="C46" s="128" t="s">
        <v>635</v>
      </c>
      <c r="D46" s="37" t="s">
        <v>77</v>
      </c>
      <c r="E46" s="18">
        <v>1</v>
      </c>
      <c r="F46" s="12">
        <v>14.4</v>
      </c>
      <c r="G46" s="19">
        <f t="shared" si="3"/>
        <v>14.4</v>
      </c>
    </row>
    <row r="47" spans="2:7" x14ac:dyDescent="0.2">
      <c r="B47" s="17" t="s">
        <v>78</v>
      </c>
      <c r="C47" s="128" t="s">
        <v>635</v>
      </c>
      <c r="D47" s="37" t="s">
        <v>79</v>
      </c>
      <c r="E47" s="18">
        <v>1</v>
      </c>
      <c r="F47" s="12">
        <v>22.75</v>
      </c>
      <c r="G47" s="19">
        <f t="shared" si="3"/>
        <v>22.75</v>
      </c>
    </row>
    <row r="48" spans="2:7" ht="25.5" x14ac:dyDescent="0.2">
      <c r="B48" s="17" t="s">
        <v>80</v>
      </c>
      <c r="C48" s="128" t="s">
        <v>635</v>
      </c>
      <c r="D48" s="37" t="s">
        <v>81</v>
      </c>
      <c r="E48" s="18">
        <v>1</v>
      </c>
      <c r="F48" s="12">
        <v>11.7</v>
      </c>
      <c r="G48" s="19">
        <f t="shared" si="3"/>
        <v>11.7</v>
      </c>
    </row>
    <row r="49" spans="2:13" x14ac:dyDescent="0.2">
      <c r="B49" s="17" t="s">
        <v>82</v>
      </c>
      <c r="C49" s="128" t="s">
        <v>635</v>
      </c>
      <c r="D49" s="37" t="s">
        <v>83</v>
      </c>
      <c r="E49" s="18">
        <v>1</v>
      </c>
      <c r="F49" s="12">
        <v>16.600000000000001</v>
      </c>
      <c r="G49" s="19">
        <f t="shared" si="3"/>
        <v>16.600000000000001</v>
      </c>
    </row>
    <row r="50" spans="2:13" x14ac:dyDescent="0.2">
      <c r="B50" s="17" t="s">
        <v>84</v>
      </c>
      <c r="C50" s="128" t="s">
        <v>635</v>
      </c>
      <c r="D50" s="37" t="s">
        <v>85</v>
      </c>
      <c r="E50" s="18">
        <v>1</v>
      </c>
      <c r="F50" s="12">
        <v>16.5</v>
      </c>
      <c r="G50" s="19">
        <f t="shared" si="3"/>
        <v>16.5</v>
      </c>
    </row>
    <row r="51" spans="2:13" x14ac:dyDescent="0.2">
      <c r="B51" s="17" t="s">
        <v>86</v>
      </c>
      <c r="C51" s="128" t="s">
        <v>635</v>
      </c>
      <c r="D51" s="37" t="s">
        <v>87</v>
      </c>
      <c r="E51" s="18">
        <v>1</v>
      </c>
      <c r="F51" s="12">
        <v>11</v>
      </c>
      <c r="G51" s="19">
        <f t="shared" si="3"/>
        <v>11</v>
      </c>
    </row>
    <row r="52" spans="2:13" x14ac:dyDescent="0.2">
      <c r="B52" s="17" t="s">
        <v>92</v>
      </c>
      <c r="C52" s="128" t="s">
        <v>636</v>
      </c>
      <c r="D52" s="37" t="s">
        <v>93</v>
      </c>
      <c r="E52" s="18">
        <v>1</v>
      </c>
      <c r="F52" s="12">
        <v>18.7</v>
      </c>
      <c r="G52" s="19">
        <f t="shared" ref="G52:G60" si="4">E52*F52</f>
        <v>18.7</v>
      </c>
    </row>
    <row r="53" spans="2:13" x14ac:dyDescent="0.2">
      <c r="B53" s="17" t="s">
        <v>96</v>
      </c>
      <c r="C53" s="128" t="s">
        <v>636</v>
      </c>
      <c r="D53" s="37" t="s">
        <v>97</v>
      </c>
      <c r="E53" s="18">
        <v>1</v>
      </c>
      <c r="F53" s="12">
        <v>10</v>
      </c>
      <c r="G53" s="19">
        <f t="shared" si="4"/>
        <v>10</v>
      </c>
    </row>
    <row r="54" spans="2:13" x14ac:dyDescent="0.2">
      <c r="B54" s="17" t="s">
        <v>98</v>
      </c>
      <c r="C54" s="128" t="s">
        <v>636</v>
      </c>
      <c r="D54" s="37" t="s">
        <v>153</v>
      </c>
      <c r="E54" s="18">
        <v>1</v>
      </c>
      <c r="F54" s="12">
        <v>16.7</v>
      </c>
      <c r="G54" s="19">
        <f t="shared" si="4"/>
        <v>16.7</v>
      </c>
    </row>
    <row r="55" spans="2:13" x14ac:dyDescent="0.2">
      <c r="B55" s="17" t="s">
        <v>99</v>
      </c>
      <c r="C55" s="128" t="s">
        <v>636</v>
      </c>
      <c r="D55" s="37" t="s">
        <v>100</v>
      </c>
      <c r="E55" s="18">
        <v>1</v>
      </c>
      <c r="F55" s="12">
        <v>12.8</v>
      </c>
      <c r="G55" s="19">
        <f t="shared" si="4"/>
        <v>12.8</v>
      </c>
    </row>
    <row r="56" spans="2:13" ht="25.5" x14ac:dyDescent="0.2">
      <c r="B56" s="17" t="s">
        <v>101</v>
      </c>
      <c r="C56" s="128" t="s">
        <v>636</v>
      </c>
      <c r="D56" s="37" t="s">
        <v>102</v>
      </c>
      <c r="E56" s="18">
        <v>1</v>
      </c>
      <c r="F56" s="12">
        <v>20.100000000000001</v>
      </c>
      <c r="G56" s="19">
        <f t="shared" si="4"/>
        <v>20.100000000000001</v>
      </c>
    </row>
    <row r="57" spans="2:13" x14ac:dyDescent="0.2">
      <c r="B57" s="17" t="s">
        <v>103</v>
      </c>
      <c r="C57" s="128" t="s">
        <v>636</v>
      </c>
      <c r="D57" s="37" t="s">
        <v>104</v>
      </c>
      <c r="E57" s="18">
        <v>1</v>
      </c>
      <c r="F57" s="12">
        <v>1.82</v>
      </c>
      <c r="G57" s="19">
        <f t="shared" si="4"/>
        <v>1.82</v>
      </c>
    </row>
    <row r="58" spans="2:13" x14ac:dyDescent="0.2">
      <c r="B58" s="17" t="s">
        <v>105</v>
      </c>
      <c r="C58" s="128" t="s">
        <v>636</v>
      </c>
      <c r="D58" s="37" t="s">
        <v>106</v>
      </c>
      <c r="E58" s="18">
        <v>1</v>
      </c>
      <c r="F58" s="12">
        <v>8.8000000000000007</v>
      </c>
      <c r="G58" s="19">
        <f t="shared" si="4"/>
        <v>8.8000000000000007</v>
      </c>
    </row>
    <row r="59" spans="2:13" x14ac:dyDescent="0.2">
      <c r="B59" s="17" t="s">
        <v>107</v>
      </c>
      <c r="C59" s="128" t="s">
        <v>636</v>
      </c>
      <c r="D59" s="37" t="s">
        <v>106</v>
      </c>
      <c r="E59" s="18">
        <v>1</v>
      </c>
      <c r="F59" s="12">
        <v>7.6</v>
      </c>
      <c r="G59" s="19">
        <f t="shared" si="4"/>
        <v>7.6</v>
      </c>
    </row>
    <row r="60" spans="2:13" ht="25.5" x14ac:dyDescent="0.2">
      <c r="B60" s="17" t="s">
        <v>108</v>
      </c>
      <c r="C60" s="128" t="s">
        <v>636</v>
      </c>
      <c r="D60" s="37" t="s">
        <v>109</v>
      </c>
      <c r="E60" s="18">
        <v>1</v>
      </c>
      <c r="F60" s="12">
        <v>41.6</v>
      </c>
      <c r="G60" s="19">
        <f t="shared" si="4"/>
        <v>41.6</v>
      </c>
      <c r="J60">
        <f>355*1.3</f>
        <v>461.5</v>
      </c>
    </row>
    <row r="61" spans="2:13" s="4" customFormat="1" x14ac:dyDescent="0.2">
      <c r="B61" s="24"/>
      <c r="C61" s="164"/>
      <c r="D61" s="34" t="s">
        <v>113</v>
      </c>
      <c r="E61" s="25"/>
      <c r="F61" s="26"/>
      <c r="G61" s="27">
        <f>SUM(G62:G62)</f>
        <v>38.35</v>
      </c>
      <c r="J61" s="4">
        <f>1026*1.1</f>
        <v>1128.6000000000001</v>
      </c>
    </row>
    <row r="62" spans="2:13" x14ac:dyDescent="0.2">
      <c r="B62" s="17" t="s">
        <v>90</v>
      </c>
      <c r="C62" s="124" t="s">
        <v>636</v>
      </c>
      <c r="D62" s="37" t="s">
        <v>91</v>
      </c>
      <c r="E62" s="18">
        <v>1</v>
      </c>
      <c r="F62" s="12">
        <v>38.35</v>
      </c>
      <c r="G62" s="19">
        <f t="shared" si="3"/>
        <v>38.35</v>
      </c>
      <c r="J62">
        <f>SUM(J60:J61)</f>
        <v>1590.1000000000001</v>
      </c>
      <c r="K62">
        <f>J62*1.05</f>
        <v>1669.6050000000002</v>
      </c>
      <c r="L62">
        <f>K62/2</f>
        <v>834.80250000000012</v>
      </c>
      <c r="M62">
        <f>L62/18</f>
        <v>46.377916666666671</v>
      </c>
    </row>
    <row r="63" spans="2:13" s="4" customFormat="1" x14ac:dyDescent="0.2">
      <c r="B63" s="24"/>
      <c r="C63" s="164"/>
      <c r="D63" s="34" t="s">
        <v>114</v>
      </c>
      <c r="E63" s="25"/>
      <c r="F63" s="26"/>
      <c r="G63" s="27">
        <f>SUM(G64:G66)</f>
        <v>61.5</v>
      </c>
    </row>
    <row r="64" spans="2:13" x14ac:dyDescent="0.2">
      <c r="B64" s="17" t="s">
        <v>70</v>
      </c>
      <c r="C64" s="124" t="s">
        <v>635</v>
      </c>
      <c r="D64" s="37" t="s">
        <v>71</v>
      </c>
      <c r="E64" s="18">
        <v>1</v>
      </c>
      <c r="F64" s="12">
        <v>18.100000000000001</v>
      </c>
      <c r="G64" s="19">
        <f>E64*F64</f>
        <v>18.100000000000001</v>
      </c>
    </row>
    <row r="65" spans="2:7" x14ac:dyDescent="0.2">
      <c r="B65" s="17" t="s">
        <v>89</v>
      </c>
      <c r="C65" s="124" t="s">
        <v>635</v>
      </c>
      <c r="D65" s="37" t="s">
        <v>95</v>
      </c>
      <c r="E65" s="18">
        <v>1</v>
      </c>
      <c r="F65" s="12">
        <v>12.8</v>
      </c>
      <c r="G65" s="19">
        <f>E65*F65</f>
        <v>12.8</v>
      </c>
    </row>
    <row r="66" spans="2:7" x14ac:dyDescent="0.2">
      <c r="B66" s="42" t="s">
        <v>94</v>
      </c>
      <c r="C66" s="167" t="s">
        <v>636</v>
      </c>
      <c r="D66" s="43" t="s">
        <v>95</v>
      </c>
      <c r="E66" s="21">
        <v>1</v>
      </c>
      <c r="F66" s="44">
        <v>30.6</v>
      </c>
      <c r="G66" s="23">
        <f t="shared" si="3"/>
        <v>30.6</v>
      </c>
    </row>
    <row r="67" spans="2:7" ht="18" x14ac:dyDescent="0.25">
      <c r="B67" s="542" t="s">
        <v>115</v>
      </c>
      <c r="C67" s="543"/>
      <c r="D67" s="543"/>
      <c r="E67" s="543"/>
      <c r="F67" s="543"/>
      <c r="G67" s="59">
        <f>G68+G99+G109+G111</f>
        <v>2047.4199999999998</v>
      </c>
    </row>
    <row r="68" spans="2:7" s="4" customFormat="1" x14ac:dyDescent="0.2">
      <c r="B68" s="24"/>
      <c r="C68" s="164"/>
      <c r="D68" s="34" t="s">
        <v>150</v>
      </c>
      <c r="E68" s="25"/>
      <c r="F68" s="26"/>
      <c r="G68" s="27">
        <f>SUM(G69:G98)</f>
        <v>1382.9199999999998</v>
      </c>
    </row>
    <row r="69" spans="2:7" x14ac:dyDescent="0.2">
      <c r="B69" s="17" t="s">
        <v>116</v>
      </c>
      <c r="C69" s="124" t="s">
        <v>635</v>
      </c>
      <c r="D69" s="37" t="s">
        <v>117</v>
      </c>
      <c r="E69" s="18">
        <v>1</v>
      </c>
      <c r="F69" s="12">
        <v>49.8</v>
      </c>
      <c r="G69" s="19">
        <f>E69*F69</f>
        <v>49.8</v>
      </c>
    </row>
    <row r="70" spans="2:7" x14ac:dyDescent="0.2">
      <c r="B70" s="17" t="s">
        <v>118</v>
      </c>
      <c r="C70" s="124" t="s">
        <v>635</v>
      </c>
      <c r="D70" s="37" t="s">
        <v>117</v>
      </c>
      <c r="E70" s="18">
        <v>1</v>
      </c>
      <c r="F70" s="12">
        <v>54.72</v>
      </c>
      <c r="G70" s="19">
        <f t="shared" ref="G70:G108" si="5">E70*F70</f>
        <v>54.72</v>
      </c>
    </row>
    <row r="71" spans="2:7" x14ac:dyDescent="0.2">
      <c r="B71" s="17" t="s">
        <v>119</v>
      </c>
      <c r="C71" s="128" t="s">
        <v>635</v>
      </c>
      <c r="D71" s="37" t="s">
        <v>117</v>
      </c>
      <c r="E71" s="18">
        <v>1</v>
      </c>
      <c r="F71" s="12">
        <v>52.2</v>
      </c>
      <c r="G71" s="19">
        <f t="shared" si="5"/>
        <v>52.2</v>
      </c>
    </row>
    <row r="72" spans="2:7" x14ac:dyDescent="0.2">
      <c r="B72" s="17" t="s">
        <v>120</v>
      </c>
      <c r="C72" s="128" t="s">
        <v>635</v>
      </c>
      <c r="D72" s="37" t="s">
        <v>117</v>
      </c>
      <c r="E72" s="18">
        <v>1</v>
      </c>
      <c r="F72" s="12">
        <v>53.7</v>
      </c>
      <c r="G72" s="19">
        <f t="shared" si="5"/>
        <v>53.7</v>
      </c>
    </row>
    <row r="73" spans="2:7" x14ac:dyDescent="0.2">
      <c r="B73" s="17" t="s">
        <v>121</v>
      </c>
      <c r="C73" s="128" t="s">
        <v>635</v>
      </c>
      <c r="D73" s="37" t="s">
        <v>117</v>
      </c>
      <c r="E73" s="18">
        <v>1</v>
      </c>
      <c r="F73" s="12">
        <v>53.6</v>
      </c>
      <c r="G73" s="19">
        <f t="shared" si="5"/>
        <v>53.6</v>
      </c>
    </row>
    <row r="74" spans="2:7" x14ac:dyDescent="0.2">
      <c r="B74" s="17" t="s">
        <v>122</v>
      </c>
      <c r="C74" s="128" t="s">
        <v>635</v>
      </c>
      <c r="D74" s="37" t="s">
        <v>117</v>
      </c>
      <c r="E74" s="18">
        <v>1</v>
      </c>
      <c r="F74" s="12">
        <v>25.2</v>
      </c>
      <c r="G74" s="19">
        <f t="shared" si="5"/>
        <v>25.2</v>
      </c>
    </row>
    <row r="75" spans="2:7" x14ac:dyDescent="0.2">
      <c r="B75" s="17" t="s">
        <v>123</v>
      </c>
      <c r="C75" s="128" t="s">
        <v>635</v>
      </c>
      <c r="D75" s="37" t="s">
        <v>117</v>
      </c>
      <c r="E75" s="18">
        <v>1</v>
      </c>
      <c r="F75" s="12">
        <v>42.1</v>
      </c>
      <c r="G75" s="19">
        <f t="shared" si="5"/>
        <v>42.1</v>
      </c>
    </row>
    <row r="76" spans="2:7" x14ac:dyDescent="0.2">
      <c r="B76" s="17" t="s">
        <v>124</v>
      </c>
      <c r="C76" s="128" t="s">
        <v>635</v>
      </c>
      <c r="D76" s="37" t="s">
        <v>117</v>
      </c>
      <c r="E76" s="18">
        <v>1</v>
      </c>
      <c r="F76" s="12">
        <v>32.200000000000003</v>
      </c>
      <c r="G76" s="19">
        <f t="shared" si="5"/>
        <v>32.200000000000003</v>
      </c>
    </row>
    <row r="77" spans="2:7" x14ac:dyDescent="0.2">
      <c r="B77" s="17" t="s">
        <v>125</v>
      </c>
      <c r="C77" s="128" t="s">
        <v>635</v>
      </c>
      <c r="D77" s="37" t="s">
        <v>117</v>
      </c>
      <c r="E77" s="18">
        <v>1</v>
      </c>
      <c r="F77" s="12">
        <v>36.4</v>
      </c>
      <c r="G77" s="19">
        <f t="shared" si="5"/>
        <v>36.4</v>
      </c>
    </row>
    <row r="78" spans="2:7" x14ac:dyDescent="0.2">
      <c r="B78" s="17" t="s">
        <v>126</v>
      </c>
      <c r="C78" s="128" t="s">
        <v>635</v>
      </c>
      <c r="D78" s="37" t="s">
        <v>127</v>
      </c>
      <c r="E78" s="18">
        <v>1</v>
      </c>
      <c r="F78" s="12">
        <v>35.6</v>
      </c>
      <c r="G78" s="19">
        <f t="shared" si="5"/>
        <v>35.6</v>
      </c>
    </row>
    <row r="79" spans="2:7" x14ac:dyDescent="0.2">
      <c r="B79" s="17" t="s">
        <v>128</v>
      </c>
      <c r="C79" s="128" t="s">
        <v>635</v>
      </c>
      <c r="D79" s="37" t="s">
        <v>117</v>
      </c>
      <c r="E79" s="18">
        <v>1</v>
      </c>
      <c r="F79" s="12">
        <v>35.1</v>
      </c>
      <c r="G79" s="19">
        <f t="shared" si="5"/>
        <v>35.1</v>
      </c>
    </row>
    <row r="80" spans="2:7" x14ac:dyDescent="0.2">
      <c r="B80" s="17" t="s">
        <v>129</v>
      </c>
      <c r="C80" s="128" t="s">
        <v>635</v>
      </c>
      <c r="D80" s="37" t="s">
        <v>117</v>
      </c>
      <c r="E80" s="18">
        <v>1</v>
      </c>
      <c r="F80" s="12">
        <v>21.7</v>
      </c>
      <c r="G80" s="19">
        <f t="shared" si="5"/>
        <v>21.7</v>
      </c>
    </row>
    <row r="81" spans="2:9" x14ac:dyDescent="0.2">
      <c r="B81" s="17" t="s">
        <v>130</v>
      </c>
      <c r="C81" s="128" t="s">
        <v>635</v>
      </c>
      <c r="D81" s="37" t="s">
        <v>117</v>
      </c>
      <c r="E81" s="18">
        <v>1</v>
      </c>
      <c r="F81" s="12">
        <v>47.7</v>
      </c>
      <c r="G81" s="19">
        <f t="shared" si="5"/>
        <v>47.7</v>
      </c>
    </row>
    <row r="82" spans="2:9" x14ac:dyDescent="0.2">
      <c r="B82" s="17" t="s">
        <v>131</v>
      </c>
      <c r="C82" s="128" t="s">
        <v>635</v>
      </c>
      <c r="D82" s="37" t="s">
        <v>117</v>
      </c>
      <c r="E82" s="18">
        <v>1</v>
      </c>
      <c r="F82" s="12">
        <v>50.5</v>
      </c>
      <c r="G82" s="19">
        <f t="shared" si="5"/>
        <v>50.5</v>
      </c>
    </row>
    <row r="83" spans="2:9" x14ac:dyDescent="0.2">
      <c r="B83" s="17" t="s">
        <v>132</v>
      </c>
      <c r="C83" s="128" t="s">
        <v>635</v>
      </c>
      <c r="D83" s="37" t="s">
        <v>117</v>
      </c>
      <c r="E83" s="18">
        <v>1</v>
      </c>
      <c r="F83" s="12">
        <v>47</v>
      </c>
      <c r="G83" s="19">
        <f t="shared" si="5"/>
        <v>47</v>
      </c>
    </row>
    <row r="84" spans="2:9" x14ac:dyDescent="0.2">
      <c r="B84" s="17" t="s">
        <v>133</v>
      </c>
      <c r="C84" s="128" t="s">
        <v>637</v>
      </c>
      <c r="D84" s="37" t="s">
        <v>117</v>
      </c>
      <c r="E84" s="18">
        <v>1</v>
      </c>
      <c r="F84" s="12">
        <v>49.7</v>
      </c>
      <c r="G84" s="19">
        <f t="shared" si="5"/>
        <v>49.7</v>
      </c>
      <c r="I84" s="6">
        <f>G84</f>
        <v>49.7</v>
      </c>
    </row>
    <row r="85" spans="2:9" x14ac:dyDescent="0.2">
      <c r="B85" s="17" t="s">
        <v>134</v>
      </c>
      <c r="C85" s="128" t="s">
        <v>636</v>
      </c>
      <c r="D85" s="37" t="s">
        <v>117</v>
      </c>
      <c r="E85" s="18">
        <v>1</v>
      </c>
      <c r="F85" s="12">
        <v>50.5</v>
      </c>
      <c r="G85" s="19">
        <f t="shared" si="5"/>
        <v>50.5</v>
      </c>
    </row>
    <row r="86" spans="2:9" x14ac:dyDescent="0.2">
      <c r="B86" s="17" t="s">
        <v>135</v>
      </c>
      <c r="C86" s="128" t="s">
        <v>636</v>
      </c>
      <c r="D86" s="37" t="s">
        <v>117</v>
      </c>
      <c r="E86" s="18">
        <v>1</v>
      </c>
      <c r="F86" s="12">
        <v>70.400000000000006</v>
      </c>
      <c r="G86" s="19">
        <f t="shared" si="5"/>
        <v>70.400000000000006</v>
      </c>
    </row>
    <row r="87" spans="2:9" x14ac:dyDescent="0.2">
      <c r="B87" s="17" t="s">
        <v>136</v>
      </c>
      <c r="C87" s="128" t="s">
        <v>636</v>
      </c>
      <c r="D87" s="37" t="s">
        <v>117</v>
      </c>
      <c r="E87" s="18">
        <v>1</v>
      </c>
      <c r="F87" s="12">
        <v>67.8</v>
      </c>
      <c r="G87" s="19">
        <f t="shared" si="5"/>
        <v>67.8</v>
      </c>
    </row>
    <row r="88" spans="2:9" x14ac:dyDescent="0.2">
      <c r="B88" s="17" t="s">
        <v>139</v>
      </c>
      <c r="C88" s="128" t="s">
        <v>636</v>
      </c>
      <c r="D88" s="37" t="s">
        <v>117</v>
      </c>
      <c r="E88" s="18">
        <v>1</v>
      </c>
      <c r="F88" s="12">
        <v>34.799999999999997</v>
      </c>
      <c r="G88" s="19">
        <f t="shared" si="5"/>
        <v>34.799999999999997</v>
      </c>
    </row>
    <row r="89" spans="2:9" x14ac:dyDescent="0.2">
      <c r="B89" s="17" t="s">
        <v>140</v>
      </c>
      <c r="C89" s="128" t="s">
        <v>636</v>
      </c>
      <c r="D89" s="37" t="s">
        <v>117</v>
      </c>
      <c r="E89" s="18">
        <v>1</v>
      </c>
      <c r="F89" s="12">
        <v>50.8</v>
      </c>
      <c r="G89" s="19">
        <f t="shared" si="5"/>
        <v>50.8</v>
      </c>
    </row>
    <row r="90" spans="2:9" x14ac:dyDescent="0.2">
      <c r="B90" s="17" t="s">
        <v>141</v>
      </c>
      <c r="C90" s="128" t="s">
        <v>636</v>
      </c>
      <c r="D90" s="37" t="s">
        <v>117</v>
      </c>
      <c r="E90" s="18">
        <v>1</v>
      </c>
      <c r="F90" s="12">
        <v>33.1</v>
      </c>
      <c r="G90" s="19">
        <f t="shared" si="5"/>
        <v>33.1</v>
      </c>
    </row>
    <row r="91" spans="2:9" x14ac:dyDescent="0.2">
      <c r="B91" s="17" t="s">
        <v>142</v>
      </c>
      <c r="C91" s="128" t="s">
        <v>636</v>
      </c>
      <c r="D91" s="37" t="s">
        <v>117</v>
      </c>
      <c r="E91" s="18">
        <v>1</v>
      </c>
      <c r="F91" s="12">
        <v>52.8</v>
      </c>
      <c r="G91" s="19">
        <f t="shared" si="5"/>
        <v>52.8</v>
      </c>
    </row>
    <row r="92" spans="2:9" x14ac:dyDescent="0.2">
      <c r="B92" s="17" t="s">
        <v>143</v>
      </c>
      <c r="C92" s="128" t="s">
        <v>636</v>
      </c>
      <c r="D92" s="37" t="s">
        <v>117</v>
      </c>
      <c r="E92" s="18">
        <v>1</v>
      </c>
      <c r="F92" s="12">
        <v>51.4</v>
      </c>
      <c r="G92" s="19">
        <f t="shared" si="5"/>
        <v>51.4</v>
      </c>
    </row>
    <row r="93" spans="2:9" x14ac:dyDescent="0.2">
      <c r="B93" s="17" t="s">
        <v>144</v>
      </c>
      <c r="C93" s="128" t="s">
        <v>636</v>
      </c>
      <c r="D93" s="37" t="s">
        <v>117</v>
      </c>
      <c r="E93" s="18">
        <v>1</v>
      </c>
      <c r="F93" s="12">
        <v>51.8</v>
      </c>
      <c r="G93" s="19">
        <f t="shared" si="5"/>
        <v>51.8</v>
      </c>
    </row>
    <row r="94" spans="2:9" x14ac:dyDescent="0.2">
      <c r="B94" s="17" t="s">
        <v>145</v>
      </c>
      <c r="C94" s="128" t="s">
        <v>636</v>
      </c>
      <c r="D94" s="37" t="s">
        <v>117</v>
      </c>
      <c r="E94" s="18">
        <v>1</v>
      </c>
      <c r="F94" s="12">
        <v>43.1</v>
      </c>
      <c r="G94" s="19">
        <f t="shared" si="5"/>
        <v>43.1</v>
      </c>
    </row>
    <row r="95" spans="2:9" x14ac:dyDescent="0.2">
      <c r="B95" s="17" t="s">
        <v>146</v>
      </c>
      <c r="C95" s="128" t="s">
        <v>636</v>
      </c>
      <c r="D95" s="37" t="s">
        <v>117</v>
      </c>
      <c r="E95" s="18">
        <v>1</v>
      </c>
      <c r="F95" s="12">
        <v>33.299999999999997</v>
      </c>
      <c r="G95" s="19">
        <f t="shared" si="5"/>
        <v>33.299999999999997</v>
      </c>
    </row>
    <row r="96" spans="2:9" x14ac:dyDescent="0.2">
      <c r="B96" s="17" t="s">
        <v>147</v>
      </c>
      <c r="C96" s="128" t="s">
        <v>636</v>
      </c>
      <c r="D96" s="37" t="s">
        <v>117</v>
      </c>
      <c r="E96" s="18">
        <v>1</v>
      </c>
      <c r="F96" s="12">
        <v>52.8</v>
      </c>
      <c r="G96" s="19">
        <f t="shared" si="5"/>
        <v>52.8</v>
      </c>
    </row>
    <row r="97" spans="2:7" x14ac:dyDescent="0.2">
      <c r="B97" s="17" t="s">
        <v>148</v>
      </c>
      <c r="C97" s="128" t="s">
        <v>636</v>
      </c>
      <c r="D97" s="37" t="s">
        <v>117</v>
      </c>
      <c r="E97" s="18">
        <v>1</v>
      </c>
      <c r="F97" s="12">
        <v>51.3</v>
      </c>
      <c r="G97" s="19">
        <f t="shared" si="5"/>
        <v>51.3</v>
      </c>
    </row>
    <row r="98" spans="2:7" x14ac:dyDescent="0.2">
      <c r="B98" s="17" t="s">
        <v>149</v>
      </c>
      <c r="C98" s="128" t="s">
        <v>636</v>
      </c>
      <c r="D98" s="37" t="s">
        <v>117</v>
      </c>
      <c r="E98" s="18">
        <v>1</v>
      </c>
      <c r="F98" s="12">
        <v>51.8</v>
      </c>
      <c r="G98" s="19">
        <f t="shared" si="5"/>
        <v>51.8</v>
      </c>
    </row>
    <row r="99" spans="2:7" s="4" customFormat="1" x14ac:dyDescent="0.2">
      <c r="B99" s="24"/>
      <c r="C99" s="164"/>
      <c r="D99" s="34" t="s">
        <v>154</v>
      </c>
      <c r="E99" s="25"/>
      <c r="F99" s="26"/>
      <c r="G99" s="27">
        <f>SUM(G100:G108)</f>
        <v>465.7</v>
      </c>
    </row>
    <row r="100" spans="2:7" x14ac:dyDescent="0.2">
      <c r="B100" s="17" t="s">
        <v>164</v>
      </c>
      <c r="C100" s="128" t="s">
        <v>635</v>
      </c>
      <c r="D100" s="37" t="s">
        <v>155</v>
      </c>
      <c r="E100" s="18">
        <v>1</v>
      </c>
      <c r="F100" s="12">
        <v>53.5</v>
      </c>
      <c r="G100" s="19">
        <f t="shared" si="5"/>
        <v>53.5</v>
      </c>
    </row>
    <row r="101" spans="2:7" x14ac:dyDescent="0.2">
      <c r="B101" s="17" t="s">
        <v>165</v>
      </c>
      <c r="C101" s="128" t="s">
        <v>635</v>
      </c>
      <c r="D101" s="37" t="s">
        <v>156</v>
      </c>
      <c r="E101" s="18">
        <v>1</v>
      </c>
      <c r="F101" s="12">
        <v>28.5</v>
      </c>
      <c r="G101" s="19">
        <f t="shared" si="5"/>
        <v>28.5</v>
      </c>
    </row>
    <row r="102" spans="2:7" x14ac:dyDescent="0.2">
      <c r="B102" s="17" t="s">
        <v>166</v>
      </c>
      <c r="C102" s="128" t="s">
        <v>635</v>
      </c>
      <c r="D102" s="37" t="s">
        <v>157</v>
      </c>
      <c r="E102" s="18">
        <v>1</v>
      </c>
      <c r="F102" s="12">
        <v>56</v>
      </c>
      <c r="G102" s="19">
        <f t="shared" si="5"/>
        <v>56</v>
      </c>
    </row>
    <row r="103" spans="2:7" x14ac:dyDescent="0.2">
      <c r="B103" s="17" t="s">
        <v>167</v>
      </c>
      <c r="C103" s="128" t="s">
        <v>635</v>
      </c>
      <c r="D103" s="37" t="s">
        <v>158</v>
      </c>
      <c r="E103" s="18">
        <v>1</v>
      </c>
      <c r="F103" s="12">
        <v>28.8</v>
      </c>
      <c r="G103" s="19">
        <f t="shared" si="5"/>
        <v>28.8</v>
      </c>
    </row>
    <row r="104" spans="2:7" x14ac:dyDescent="0.2">
      <c r="B104" s="17" t="s">
        <v>168</v>
      </c>
      <c r="C104" s="124" t="s">
        <v>636</v>
      </c>
      <c r="D104" s="37" t="s">
        <v>159</v>
      </c>
      <c r="E104" s="18">
        <v>1</v>
      </c>
      <c r="F104" s="12">
        <v>62</v>
      </c>
      <c r="G104" s="19">
        <f t="shared" si="5"/>
        <v>62</v>
      </c>
    </row>
    <row r="105" spans="2:7" x14ac:dyDescent="0.2">
      <c r="B105" s="17" t="s">
        <v>169</v>
      </c>
      <c r="C105" s="124" t="s">
        <v>636</v>
      </c>
      <c r="D105" s="37" t="s">
        <v>160</v>
      </c>
      <c r="E105" s="18">
        <v>1</v>
      </c>
      <c r="F105" s="12">
        <v>62.4</v>
      </c>
      <c r="G105" s="19">
        <f t="shared" si="5"/>
        <v>62.4</v>
      </c>
    </row>
    <row r="106" spans="2:7" x14ac:dyDescent="0.2">
      <c r="B106" s="17" t="s">
        <v>170</v>
      </c>
      <c r="C106" s="124" t="s">
        <v>636</v>
      </c>
      <c r="D106" s="37" t="s">
        <v>161</v>
      </c>
      <c r="E106" s="18">
        <v>1</v>
      </c>
      <c r="F106" s="12">
        <v>50.1</v>
      </c>
      <c r="G106" s="19">
        <f t="shared" si="5"/>
        <v>50.1</v>
      </c>
    </row>
    <row r="107" spans="2:7" x14ac:dyDescent="0.2">
      <c r="B107" s="17" t="s">
        <v>171</v>
      </c>
      <c r="C107" s="124" t="s">
        <v>636</v>
      </c>
      <c r="D107" s="37" t="s">
        <v>162</v>
      </c>
      <c r="E107" s="18">
        <v>1</v>
      </c>
      <c r="F107" s="12">
        <v>62</v>
      </c>
      <c r="G107" s="19">
        <f t="shared" si="5"/>
        <v>62</v>
      </c>
    </row>
    <row r="108" spans="2:7" x14ac:dyDescent="0.2">
      <c r="B108" s="17" t="s">
        <v>172</v>
      </c>
      <c r="C108" s="124" t="s">
        <v>636</v>
      </c>
      <c r="D108" s="37" t="s">
        <v>163</v>
      </c>
      <c r="E108" s="18">
        <v>1</v>
      </c>
      <c r="F108" s="12">
        <v>62.4</v>
      </c>
      <c r="G108" s="19">
        <f t="shared" si="5"/>
        <v>62.4</v>
      </c>
    </row>
    <row r="109" spans="2:7" s="4" customFormat="1" x14ac:dyDescent="0.2">
      <c r="B109" s="24"/>
      <c r="C109" s="164"/>
      <c r="D109" s="34" t="s">
        <v>151</v>
      </c>
      <c r="E109" s="25"/>
      <c r="F109" s="26"/>
      <c r="G109" s="27">
        <f>G110</f>
        <v>129</v>
      </c>
    </row>
    <row r="110" spans="2:7" x14ac:dyDescent="0.2">
      <c r="B110" s="17" t="s">
        <v>137</v>
      </c>
      <c r="C110" s="124" t="s">
        <v>636</v>
      </c>
      <c r="D110" s="37" t="s">
        <v>138</v>
      </c>
      <c r="E110" s="18">
        <v>1</v>
      </c>
      <c r="F110" s="12">
        <v>129</v>
      </c>
      <c r="G110" s="19">
        <f>E110*F110</f>
        <v>129</v>
      </c>
    </row>
    <row r="111" spans="2:7" s="4" customFormat="1" x14ac:dyDescent="0.2">
      <c r="B111" s="24"/>
      <c r="C111" s="164"/>
      <c r="D111" s="34" t="s">
        <v>180</v>
      </c>
      <c r="E111" s="25"/>
      <c r="F111" s="26"/>
      <c r="G111" s="27">
        <f>SUM(G112:G118)</f>
        <v>69.8</v>
      </c>
    </row>
    <row r="112" spans="2:7" x14ac:dyDescent="0.2">
      <c r="B112" s="17" t="s">
        <v>188</v>
      </c>
      <c r="C112" s="124" t="s">
        <v>635</v>
      </c>
      <c r="D112" s="37" t="s">
        <v>184</v>
      </c>
      <c r="E112" s="18">
        <v>1</v>
      </c>
      <c r="F112" s="12">
        <v>11.7</v>
      </c>
      <c r="G112" s="19">
        <f t="shared" ref="G112:G118" si="6">E112*F112</f>
        <v>11.7</v>
      </c>
    </row>
    <row r="113" spans="2:7" x14ac:dyDescent="0.2">
      <c r="B113" s="17" t="s">
        <v>189</v>
      </c>
      <c r="C113" s="124" t="s">
        <v>635</v>
      </c>
      <c r="D113" s="37" t="s">
        <v>185</v>
      </c>
      <c r="E113" s="18">
        <v>1</v>
      </c>
      <c r="F113" s="12">
        <v>14.3</v>
      </c>
      <c r="G113" s="19">
        <f t="shared" si="6"/>
        <v>14.3</v>
      </c>
    </row>
    <row r="114" spans="2:7" x14ac:dyDescent="0.2">
      <c r="B114" s="17" t="s">
        <v>190</v>
      </c>
      <c r="C114" s="124" t="s">
        <v>635</v>
      </c>
      <c r="D114" s="37" t="s">
        <v>186</v>
      </c>
      <c r="E114" s="18">
        <v>1</v>
      </c>
      <c r="F114" s="12">
        <v>6.2</v>
      </c>
      <c r="G114" s="19">
        <f t="shared" si="6"/>
        <v>6.2</v>
      </c>
    </row>
    <row r="115" spans="2:7" x14ac:dyDescent="0.2">
      <c r="B115" s="17" t="s">
        <v>191</v>
      </c>
      <c r="C115" s="124" t="s">
        <v>635</v>
      </c>
      <c r="D115" s="37" t="s">
        <v>187</v>
      </c>
      <c r="E115" s="18">
        <v>1</v>
      </c>
      <c r="F115" s="12">
        <v>6.3</v>
      </c>
      <c r="G115" s="19">
        <f t="shared" si="6"/>
        <v>6.3</v>
      </c>
    </row>
    <row r="116" spans="2:7" x14ac:dyDescent="0.2">
      <c r="B116" s="17" t="s">
        <v>192</v>
      </c>
      <c r="C116" s="124" t="s">
        <v>636</v>
      </c>
      <c r="D116" s="37" t="s">
        <v>181</v>
      </c>
      <c r="E116" s="18">
        <v>1</v>
      </c>
      <c r="F116" s="12">
        <v>8.6999999999999993</v>
      </c>
      <c r="G116" s="19">
        <f t="shared" si="6"/>
        <v>8.6999999999999993</v>
      </c>
    </row>
    <row r="117" spans="2:7" x14ac:dyDescent="0.2">
      <c r="B117" s="17" t="s">
        <v>193</v>
      </c>
      <c r="C117" s="124" t="s">
        <v>636</v>
      </c>
      <c r="D117" s="37" t="s">
        <v>182</v>
      </c>
      <c r="E117" s="18">
        <v>1</v>
      </c>
      <c r="F117" s="12">
        <v>7.8</v>
      </c>
      <c r="G117" s="19">
        <f t="shared" si="6"/>
        <v>7.8</v>
      </c>
    </row>
    <row r="118" spans="2:7" x14ac:dyDescent="0.2">
      <c r="B118" s="42" t="s">
        <v>194</v>
      </c>
      <c r="C118" s="167" t="s">
        <v>636</v>
      </c>
      <c r="D118" s="43" t="s">
        <v>183</v>
      </c>
      <c r="E118" s="21">
        <v>1</v>
      </c>
      <c r="F118" s="44">
        <v>14.8</v>
      </c>
      <c r="G118" s="23">
        <f t="shared" si="6"/>
        <v>14.8</v>
      </c>
    </row>
    <row r="119" spans="2:7" ht="18" x14ac:dyDescent="0.25">
      <c r="B119" s="544" t="s">
        <v>152</v>
      </c>
      <c r="C119" s="545"/>
      <c r="D119" s="545"/>
      <c r="E119" s="545"/>
      <c r="F119" s="545"/>
      <c r="G119" s="58">
        <f>G120+G129+G161+G164</f>
        <v>1186.27</v>
      </c>
    </row>
    <row r="120" spans="2:7" s="4" customFormat="1" x14ac:dyDescent="0.2">
      <c r="B120" s="24"/>
      <c r="C120" s="164"/>
      <c r="D120" s="34" t="s">
        <v>388</v>
      </c>
      <c r="E120" s="25"/>
      <c r="F120" s="26"/>
      <c r="G120" s="27">
        <f>SUM(G121:G128)</f>
        <v>205.8</v>
      </c>
    </row>
    <row r="121" spans="2:7" x14ac:dyDescent="0.2">
      <c r="B121" s="17" t="s">
        <v>307</v>
      </c>
      <c r="C121" s="124" t="s">
        <v>635</v>
      </c>
      <c r="D121" s="37" t="s">
        <v>308</v>
      </c>
      <c r="E121" s="18">
        <v>1</v>
      </c>
      <c r="F121" s="12">
        <v>51.5</v>
      </c>
      <c r="G121" s="19">
        <f t="shared" ref="G121:G128" si="7">E121*F121</f>
        <v>51.5</v>
      </c>
    </row>
    <row r="122" spans="2:7" x14ac:dyDescent="0.2">
      <c r="B122" s="17" t="s">
        <v>309</v>
      </c>
      <c r="C122" s="124" t="s">
        <v>635</v>
      </c>
      <c r="D122" s="37" t="s">
        <v>310</v>
      </c>
      <c r="E122" s="18">
        <v>1</v>
      </c>
      <c r="F122" s="12">
        <v>25.3</v>
      </c>
      <c r="G122" s="19">
        <f t="shared" si="7"/>
        <v>25.3</v>
      </c>
    </row>
    <row r="123" spans="2:7" x14ac:dyDescent="0.2">
      <c r="B123" s="17" t="s">
        <v>311</v>
      </c>
      <c r="C123" s="124" t="s">
        <v>635</v>
      </c>
      <c r="D123" s="37" t="s">
        <v>312</v>
      </c>
      <c r="E123" s="18">
        <v>1</v>
      </c>
      <c r="F123" s="12">
        <v>21.8</v>
      </c>
      <c r="G123" s="19">
        <f t="shared" si="7"/>
        <v>21.8</v>
      </c>
    </row>
    <row r="124" spans="2:7" x14ac:dyDescent="0.2">
      <c r="B124" s="17" t="s">
        <v>313</v>
      </c>
      <c r="C124" s="124" t="s">
        <v>635</v>
      </c>
      <c r="D124" s="37" t="s">
        <v>314</v>
      </c>
      <c r="E124" s="18">
        <v>1</v>
      </c>
      <c r="F124" s="12">
        <v>6.9</v>
      </c>
      <c r="G124" s="19">
        <f t="shared" si="7"/>
        <v>6.9</v>
      </c>
    </row>
    <row r="125" spans="2:7" x14ac:dyDescent="0.2">
      <c r="B125" s="17" t="s">
        <v>315</v>
      </c>
      <c r="C125" s="124" t="s">
        <v>635</v>
      </c>
      <c r="D125" s="37" t="s">
        <v>316</v>
      </c>
      <c r="E125" s="18">
        <v>1</v>
      </c>
      <c r="F125" s="12">
        <v>3.5</v>
      </c>
      <c r="G125" s="19">
        <f t="shared" si="7"/>
        <v>3.5</v>
      </c>
    </row>
    <row r="126" spans="2:7" x14ac:dyDescent="0.2">
      <c r="B126" s="17" t="s">
        <v>317</v>
      </c>
      <c r="C126" s="124" t="s">
        <v>635</v>
      </c>
      <c r="D126" s="37" t="s">
        <v>318</v>
      </c>
      <c r="E126" s="18">
        <v>1</v>
      </c>
      <c r="F126" s="12">
        <v>86.9</v>
      </c>
      <c r="G126" s="19">
        <f t="shared" si="7"/>
        <v>86.9</v>
      </c>
    </row>
    <row r="127" spans="2:7" x14ac:dyDescent="0.2">
      <c r="B127" s="17" t="s">
        <v>319</v>
      </c>
      <c r="C127" s="124" t="s">
        <v>635</v>
      </c>
      <c r="D127" s="37" t="s">
        <v>320</v>
      </c>
      <c r="E127" s="18">
        <v>1</v>
      </c>
      <c r="F127" s="12">
        <v>5</v>
      </c>
      <c r="G127" s="19">
        <f t="shared" si="7"/>
        <v>5</v>
      </c>
    </row>
    <row r="128" spans="2:7" x14ac:dyDescent="0.2">
      <c r="B128" s="17" t="s">
        <v>321</v>
      </c>
      <c r="C128" s="124" t="s">
        <v>635</v>
      </c>
      <c r="D128" s="37" t="s">
        <v>322</v>
      </c>
      <c r="E128" s="18">
        <v>1</v>
      </c>
      <c r="F128" s="12">
        <v>4.9000000000000004</v>
      </c>
      <c r="G128" s="19">
        <f t="shared" si="7"/>
        <v>4.9000000000000004</v>
      </c>
    </row>
    <row r="129" spans="2:7" s="4" customFormat="1" x14ac:dyDescent="0.2">
      <c r="B129" s="24"/>
      <c r="C129" s="164"/>
      <c r="D129" s="34" t="s">
        <v>389</v>
      </c>
      <c r="E129" s="25"/>
      <c r="F129" s="26"/>
      <c r="G129" s="27">
        <f>SUM(G130:G160)</f>
        <v>733.16</v>
      </c>
    </row>
    <row r="130" spans="2:7" x14ac:dyDescent="0.2">
      <c r="B130" s="17" t="s">
        <v>323</v>
      </c>
      <c r="C130" s="124" t="s">
        <v>635</v>
      </c>
      <c r="D130" s="37" t="s">
        <v>324</v>
      </c>
      <c r="E130" s="18">
        <v>1</v>
      </c>
      <c r="F130" s="12">
        <v>11.6</v>
      </c>
      <c r="G130" s="19">
        <f t="shared" ref="G130:G160" si="8">E130*F130</f>
        <v>11.6</v>
      </c>
    </row>
    <row r="131" spans="2:7" x14ac:dyDescent="0.2">
      <c r="B131" s="17" t="s">
        <v>325</v>
      </c>
      <c r="C131" s="124" t="s">
        <v>635</v>
      </c>
      <c r="D131" s="37" t="s">
        <v>326</v>
      </c>
      <c r="E131" s="18">
        <v>1</v>
      </c>
      <c r="F131" s="12">
        <v>2.6</v>
      </c>
      <c r="G131" s="19">
        <f t="shared" si="8"/>
        <v>2.6</v>
      </c>
    </row>
    <row r="132" spans="2:7" x14ac:dyDescent="0.2">
      <c r="B132" s="17" t="s">
        <v>327</v>
      </c>
      <c r="C132" s="124" t="s">
        <v>635</v>
      </c>
      <c r="D132" s="37" t="s">
        <v>328</v>
      </c>
      <c r="E132" s="18">
        <v>1</v>
      </c>
      <c r="F132" s="12">
        <v>29.91</v>
      </c>
      <c r="G132" s="19">
        <f t="shared" si="8"/>
        <v>29.91</v>
      </c>
    </row>
    <row r="133" spans="2:7" x14ac:dyDescent="0.2">
      <c r="B133" s="114" t="s">
        <v>329</v>
      </c>
      <c r="C133" s="169" t="s">
        <v>635</v>
      </c>
      <c r="D133" s="115" t="s">
        <v>330</v>
      </c>
      <c r="E133" s="116">
        <v>1</v>
      </c>
      <c r="F133" s="117">
        <v>121.13</v>
      </c>
      <c r="G133" s="118">
        <f t="shared" si="8"/>
        <v>121.13</v>
      </c>
    </row>
    <row r="134" spans="2:7" x14ac:dyDescent="0.2">
      <c r="B134" s="17" t="s">
        <v>331</v>
      </c>
      <c r="C134" s="124" t="s">
        <v>635</v>
      </c>
      <c r="D134" s="37" t="s">
        <v>332</v>
      </c>
      <c r="E134" s="18">
        <v>1</v>
      </c>
      <c r="F134" s="12">
        <v>22.52</v>
      </c>
      <c r="G134" s="19">
        <f t="shared" si="8"/>
        <v>22.52</v>
      </c>
    </row>
    <row r="135" spans="2:7" x14ac:dyDescent="0.2">
      <c r="B135" s="17" t="s">
        <v>333</v>
      </c>
      <c r="C135" s="124" t="s">
        <v>635</v>
      </c>
      <c r="D135" s="37" t="s">
        <v>334</v>
      </c>
      <c r="E135" s="18">
        <v>1</v>
      </c>
      <c r="F135" s="12">
        <v>6.6</v>
      </c>
      <c r="G135" s="19">
        <f t="shared" si="8"/>
        <v>6.6</v>
      </c>
    </row>
    <row r="136" spans="2:7" x14ac:dyDescent="0.2">
      <c r="B136" s="17" t="s">
        <v>335</v>
      </c>
      <c r="C136" s="124" t="s">
        <v>635</v>
      </c>
      <c r="D136" s="37" t="s">
        <v>336</v>
      </c>
      <c r="E136" s="18">
        <v>1</v>
      </c>
      <c r="F136" s="12">
        <v>30.1</v>
      </c>
      <c r="G136" s="19">
        <f t="shared" si="8"/>
        <v>30.1</v>
      </c>
    </row>
    <row r="137" spans="2:7" x14ac:dyDescent="0.2">
      <c r="B137" s="17" t="s">
        <v>337</v>
      </c>
      <c r="C137" s="124" t="s">
        <v>635</v>
      </c>
      <c r="D137" s="37" t="s">
        <v>338</v>
      </c>
      <c r="E137" s="18">
        <v>1</v>
      </c>
      <c r="F137" s="12">
        <v>9.27</v>
      </c>
      <c r="G137" s="19">
        <f t="shared" si="8"/>
        <v>9.27</v>
      </c>
    </row>
    <row r="138" spans="2:7" x14ac:dyDescent="0.2">
      <c r="B138" s="17" t="s">
        <v>339</v>
      </c>
      <c r="C138" s="124" t="s">
        <v>635</v>
      </c>
      <c r="D138" s="37" t="s">
        <v>198</v>
      </c>
      <c r="E138" s="18">
        <v>1</v>
      </c>
      <c r="F138" s="12">
        <v>29.3</v>
      </c>
      <c r="G138" s="19">
        <f t="shared" si="8"/>
        <v>29.3</v>
      </c>
    </row>
    <row r="139" spans="2:7" x14ac:dyDescent="0.2">
      <c r="B139" s="17" t="s">
        <v>340</v>
      </c>
      <c r="C139" s="124" t="s">
        <v>635</v>
      </c>
      <c r="D139" s="37" t="s">
        <v>341</v>
      </c>
      <c r="E139" s="18">
        <v>1</v>
      </c>
      <c r="F139" s="12">
        <v>1.1000000000000001</v>
      </c>
      <c r="G139" s="19">
        <f t="shared" si="8"/>
        <v>1.1000000000000001</v>
      </c>
    </row>
    <row r="140" spans="2:7" x14ac:dyDescent="0.2">
      <c r="B140" s="17" t="s">
        <v>342</v>
      </c>
      <c r="C140" s="124" t="s">
        <v>635</v>
      </c>
      <c r="D140" s="37" t="s">
        <v>343</v>
      </c>
      <c r="E140" s="18">
        <v>1</v>
      </c>
      <c r="F140" s="12">
        <v>8.5</v>
      </c>
      <c r="G140" s="19">
        <f t="shared" si="8"/>
        <v>8.5</v>
      </c>
    </row>
    <row r="141" spans="2:7" x14ac:dyDescent="0.2">
      <c r="B141" s="17" t="s">
        <v>344</v>
      </c>
      <c r="C141" s="124" t="s">
        <v>635</v>
      </c>
      <c r="D141" s="37" t="s">
        <v>345</v>
      </c>
      <c r="E141" s="18">
        <v>1</v>
      </c>
      <c r="F141" s="12">
        <v>9.6</v>
      </c>
      <c r="G141" s="19">
        <f t="shared" si="8"/>
        <v>9.6</v>
      </c>
    </row>
    <row r="142" spans="2:7" x14ac:dyDescent="0.2">
      <c r="B142" s="17" t="s">
        <v>346</v>
      </c>
      <c r="C142" s="124" t="s">
        <v>635</v>
      </c>
      <c r="D142" s="37" t="s">
        <v>347</v>
      </c>
      <c r="E142" s="18">
        <v>1</v>
      </c>
      <c r="F142" s="12">
        <v>0.8</v>
      </c>
      <c r="G142" s="19">
        <f t="shared" si="8"/>
        <v>0.8</v>
      </c>
    </row>
    <row r="143" spans="2:7" x14ac:dyDescent="0.2">
      <c r="B143" s="17" t="s">
        <v>348</v>
      </c>
      <c r="C143" s="124" t="s">
        <v>635</v>
      </c>
      <c r="D143" s="37" t="s">
        <v>349</v>
      </c>
      <c r="E143" s="18">
        <v>1</v>
      </c>
      <c r="F143" s="12">
        <v>130.9</v>
      </c>
      <c r="G143" s="19">
        <f t="shared" si="8"/>
        <v>130.9</v>
      </c>
    </row>
    <row r="144" spans="2:7" x14ac:dyDescent="0.2">
      <c r="B144" s="17" t="s">
        <v>350</v>
      </c>
      <c r="C144" s="124" t="s">
        <v>635</v>
      </c>
      <c r="D144" s="37" t="s">
        <v>214</v>
      </c>
      <c r="E144" s="18">
        <v>1</v>
      </c>
      <c r="F144" s="12">
        <v>54.62</v>
      </c>
      <c r="G144" s="19">
        <f t="shared" si="8"/>
        <v>54.62</v>
      </c>
    </row>
    <row r="145" spans="2:7" x14ac:dyDescent="0.2">
      <c r="B145" s="17" t="s">
        <v>351</v>
      </c>
      <c r="C145" s="124" t="s">
        <v>635</v>
      </c>
      <c r="D145" s="37" t="s">
        <v>352</v>
      </c>
      <c r="E145" s="18">
        <v>1</v>
      </c>
      <c r="F145" s="12">
        <v>24</v>
      </c>
      <c r="G145" s="19">
        <f t="shared" si="8"/>
        <v>24</v>
      </c>
    </row>
    <row r="146" spans="2:7" x14ac:dyDescent="0.2">
      <c r="B146" s="17" t="s">
        <v>353</v>
      </c>
      <c r="C146" s="124" t="s">
        <v>635</v>
      </c>
      <c r="D146" s="37" t="s">
        <v>354</v>
      </c>
      <c r="E146" s="18">
        <v>1</v>
      </c>
      <c r="F146" s="12">
        <v>4.16</v>
      </c>
      <c r="G146" s="19">
        <f t="shared" si="8"/>
        <v>4.16</v>
      </c>
    </row>
    <row r="147" spans="2:7" x14ac:dyDescent="0.2">
      <c r="B147" s="17" t="s">
        <v>355</v>
      </c>
      <c r="C147" s="124" t="s">
        <v>635</v>
      </c>
      <c r="D147" s="37" t="s">
        <v>356</v>
      </c>
      <c r="E147" s="18">
        <v>1</v>
      </c>
      <c r="F147" s="12">
        <v>39.9</v>
      </c>
      <c r="G147" s="19">
        <f t="shared" si="8"/>
        <v>39.9</v>
      </c>
    </row>
    <row r="148" spans="2:7" x14ac:dyDescent="0.2">
      <c r="B148" s="17" t="s">
        <v>357</v>
      </c>
      <c r="C148" s="124" t="s">
        <v>635</v>
      </c>
      <c r="D148" s="37" t="s">
        <v>358</v>
      </c>
      <c r="E148" s="18">
        <v>1</v>
      </c>
      <c r="F148" s="12">
        <v>63.5</v>
      </c>
      <c r="G148" s="19">
        <f t="shared" si="8"/>
        <v>63.5</v>
      </c>
    </row>
    <row r="149" spans="2:7" x14ac:dyDescent="0.2">
      <c r="B149" s="17" t="s">
        <v>359</v>
      </c>
      <c r="C149" s="124" t="s">
        <v>635</v>
      </c>
      <c r="D149" s="37" t="s">
        <v>360</v>
      </c>
      <c r="E149" s="18">
        <v>1</v>
      </c>
      <c r="F149" s="12">
        <v>7.4</v>
      </c>
      <c r="G149" s="19">
        <f t="shared" si="8"/>
        <v>7.4</v>
      </c>
    </row>
    <row r="150" spans="2:7" x14ac:dyDescent="0.2">
      <c r="B150" s="17" t="s">
        <v>361</v>
      </c>
      <c r="C150" s="124" t="s">
        <v>635</v>
      </c>
      <c r="D150" s="37" t="s">
        <v>214</v>
      </c>
      <c r="E150" s="18">
        <v>1</v>
      </c>
      <c r="F150" s="12">
        <v>16</v>
      </c>
      <c r="G150" s="19">
        <f t="shared" si="8"/>
        <v>16</v>
      </c>
    </row>
    <row r="151" spans="2:7" x14ac:dyDescent="0.2">
      <c r="B151" s="17" t="s">
        <v>362</v>
      </c>
      <c r="C151" s="124" t="s">
        <v>635</v>
      </c>
      <c r="D151" s="37" t="s">
        <v>363</v>
      </c>
      <c r="E151" s="18">
        <v>1</v>
      </c>
      <c r="F151" s="12">
        <v>3.8</v>
      </c>
      <c r="G151" s="19">
        <f t="shared" si="8"/>
        <v>3.8</v>
      </c>
    </row>
    <row r="152" spans="2:7" x14ac:dyDescent="0.2">
      <c r="B152" s="17" t="s">
        <v>364</v>
      </c>
      <c r="C152" s="124" t="s">
        <v>635</v>
      </c>
      <c r="D152" s="37" t="s">
        <v>365</v>
      </c>
      <c r="E152" s="18">
        <v>1</v>
      </c>
      <c r="F152" s="12">
        <v>11.55</v>
      </c>
      <c r="G152" s="19">
        <f t="shared" si="8"/>
        <v>11.55</v>
      </c>
    </row>
    <row r="153" spans="2:7" x14ac:dyDescent="0.2">
      <c r="B153" s="17" t="s">
        <v>366</v>
      </c>
      <c r="C153" s="124" t="s">
        <v>635</v>
      </c>
      <c r="D153" s="37" t="s">
        <v>367</v>
      </c>
      <c r="E153" s="18">
        <v>1</v>
      </c>
      <c r="F153" s="12">
        <v>7.4</v>
      </c>
      <c r="G153" s="19">
        <f t="shared" si="8"/>
        <v>7.4</v>
      </c>
    </row>
    <row r="154" spans="2:7" x14ac:dyDescent="0.2">
      <c r="B154" s="17" t="s">
        <v>368</v>
      </c>
      <c r="C154" s="124" t="s">
        <v>635</v>
      </c>
      <c r="D154" s="37" t="s">
        <v>369</v>
      </c>
      <c r="E154" s="18">
        <v>1</v>
      </c>
      <c r="F154" s="12">
        <v>3.4</v>
      </c>
      <c r="G154" s="19">
        <f t="shared" si="8"/>
        <v>3.4</v>
      </c>
    </row>
    <row r="155" spans="2:7" x14ac:dyDescent="0.2">
      <c r="B155" s="17" t="s">
        <v>370</v>
      </c>
      <c r="C155" s="124" t="s">
        <v>635</v>
      </c>
      <c r="D155" s="37" t="s">
        <v>371</v>
      </c>
      <c r="E155" s="18">
        <v>1</v>
      </c>
      <c r="F155" s="12">
        <v>2.2999999999999998</v>
      </c>
      <c r="G155" s="19">
        <f t="shared" si="8"/>
        <v>2.2999999999999998</v>
      </c>
    </row>
    <row r="156" spans="2:7" x14ac:dyDescent="0.2">
      <c r="B156" s="17" t="s">
        <v>372</v>
      </c>
      <c r="C156" s="124" t="s">
        <v>635</v>
      </c>
      <c r="D156" s="37" t="s">
        <v>373</v>
      </c>
      <c r="E156" s="18">
        <v>1</v>
      </c>
      <c r="F156" s="12">
        <v>4.5999999999999996</v>
      </c>
      <c r="G156" s="19">
        <f t="shared" si="8"/>
        <v>4.5999999999999996</v>
      </c>
    </row>
    <row r="157" spans="2:7" x14ac:dyDescent="0.2">
      <c r="B157" s="17" t="s">
        <v>374</v>
      </c>
      <c r="C157" s="124" t="s">
        <v>635</v>
      </c>
      <c r="D157" s="37" t="s">
        <v>375</v>
      </c>
      <c r="E157" s="18">
        <v>1</v>
      </c>
      <c r="F157" s="12">
        <v>4.0999999999999996</v>
      </c>
      <c r="G157" s="19">
        <f t="shared" si="8"/>
        <v>4.0999999999999996</v>
      </c>
    </row>
    <row r="158" spans="2:7" x14ac:dyDescent="0.2">
      <c r="B158" s="17" t="s">
        <v>376</v>
      </c>
      <c r="C158" s="124" t="s">
        <v>635</v>
      </c>
      <c r="D158" s="37" t="s">
        <v>232</v>
      </c>
      <c r="E158" s="18">
        <v>1</v>
      </c>
      <c r="F158" s="12">
        <v>3.4</v>
      </c>
      <c r="G158" s="19">
        <f t="shared" si="8"/>
        <v>3.4</v>
      </c>
    </row>
    <row r="159" spans="2:7" x14ac:dyDescent="0.2">
      <c r="B159" s="17" t="s">
        <v>381</v>
      </c>
      <c r="C159" s="128" t="s">
        <v>637</v>
      </c>
      <c r="D159" s="37" t="s">
        <v>382</v>
      </c>
      <c r="E159" s="18">
        <v>1</v>
      </c>
      <c r="F159" s="12">
        <v>22.9</v>
      </c>
      <c r="G159" s="19">
        <f t="shared" si="8"/>
        <v>22.9</v>
      </c>
    </row>
    <row r="160" spans="2:7" x14ac:dyDescent="0.2">
      <c r="B160" s="17" t="s">
        <v>383</v>
      </c>
      <c r="C160" s="128" t="s">
        <v>637</v>
      </c>
      <c r="D160" s="37" t="s">
        <v>384</v>
      </c>
      <c r="E160" s="18">
        <v>1</v>
      </c>
      <c r="F160" s="12">
        <v>46.2</v>
      </c>
      <c r="G160" s="19">
        <f t="shared" si="8"/>
        <v>46.2</v>
      </c>
    </row>
    <row r="161" spans="2:9" s="4" customFormat="1" x14ac:dyDescent="0.2">
      <c r="B161" s="24"/>
      <c r="C161" s="164"/>
      <c r="D161" s="34" t="s">
        <v>390</v>
      </c>
      <c r="E161" s="25"/>
      <c r="F161" s="26"/>
      <c r="G161" s="27">
        <f>SUM(G162:G163)</f>
        <v>139.31</v>
      </c>
    </row>
    <row r="162" spans="2:9" x14ac:dyDescent="0.2">
      <c r="B162" s="17" t="s">
        <v>385</v>
      </c>
      <c r="C162" s="128" t="s">
        <v>637</v>
      </c>
      <c r="D162" s="168" t="s">
        <v>637</v>
      </c>
      <c r="E162" s="18">
        <v>1</v>
      </c>
      <c r="F162" s="12">
        <v>101.64</v>
      </c>
      <c r="G162" s="19">
        <f>E162*F162</f>
        <v>101.64</v>
      </c>
      <c r="I162" s="6">
        <f>G162</f>
        <v>101.64</v>
      </c>
    </row>
    <row r="163" spans="2:9" x14ac:dyDescent="0.2">
      <c r="B163" s="17" t="s">
        <v>386</v>
      </c>
      <c r="C163" s="128" t="s">
        <v>637</v>
      </c>
      <c r="D163" s="37" t="s">
        <v>387</v>
      </c>
      <c r="E163" s="18">
        <v>1</v>
      </c>
      <c r="F163" s="12">
        <v>37.67</v>
      </c>
      <c r="G163" s="19">
        <f>E163*F163</f>
        <v>37.67</v>
      </c>
      <c r="I163" s="6">
        <f>G163</f>
        <v>37.67</v>
      </c>
    </row>
    <row r="164" spans="2:9" s="4" customFormat="1" x14ac:dyDescent="0.2">
      <c r="B164" s="24"/>
      <c r="C164" s="164"/>
      <c r="D164" s="34" t="s">
        <v>391</v>
      </c>
      <c r="E164" s="25"/>
      <c r="F164" s="26"/>
      <c r="G164" s="27">
        <f>SUM(G165:G166)</f>
        <v>108</v>
      </c>
    </row>
    <row r="165" spans="2:9" x14ac:dyDescent="0.2">
      <c r="B165" s="17" t="s">
        <v>377</v>
      </c>
      <c r="C165" s="124" t="s">
        <v>635</v>
      </c>
      <c r="D165" s="37" t="s">
        <v>378</v>
      </c>
      <c r="E165" s="18">
        <v>1</v>
      </c>
      <c r="F165" s="12">
        <v>46</v>
      </c>
      <c r="G165" s="19">
        <f t="shared" ref="G165:G166" si="9">E165*F165</f>
        <v>46</v>
      </c>
    </row>
    <row r="166" spans="2:9" x14ac:dyDescent="0.2">
      <c r="B166" s="45" t="s">
        <v>379</v>
      </c>
      <c r="C166" s="170" t="s">
        <v>635</v>
      </c>
      <c r="D166" s="46" t="s">
        <v>380</v>
      </c>
      <c r="E166" s="47">
        <v>1</v>
      </c>
      <c r="F166" s="48">
        <v>62</v>
      </c>
      <c r="G166" s="49">
        <f t="shared" si="9"/>
        <v>62</v>
      </c>
    </row>
    <row r="167" spans="2:9" ht="18" x14ac:dyDescent="0.25">
      <c r="B167" s="546" t="s">
        <v>173</v>
      </c>
      <c r="C167" s="547"/>
      <c r="D167" s="547"/>
      <c r="E167" s="547"/>
      <c r="F167" s="547"/>
      <c r="G167" s="57">
        <f>G168+G171</f>
        <v>144.43</v>
      </c>
    </row>
    <row r="168" spans="2:9" s="4" customFormat="1" x14ac:dyDescent="0.2">
      <c r="B168" s="24"/>
      <c r="C168" s="164"/>
      <c r="D168" s="34" t="s">
        <v>151</v>
      </c>
      <c r="E168" s="25"/>
      <c r="F168" s="26"/>
      <c r="G168" s="27">
        <f>SUM(G169:G170)</f>
        <v>110.5</v>
      </c>
    </row>
    <row r="169" spans="2:9" x14ac:dyDescent="0.2">
      <c r="B169" s="17" t="s">
        <v>177</v>
      </c>
      <c r="C169" s="124" t="s">
        <v>636</v>
      </c>
      <c r="D169" s="37" t="s">
        <v>174</v>
      </c>
      <c r="E169" s="18">
        <v>1</v>
      </c>
      <c r="F169" s="12">
        <v>96</v>
      </c>
      <c r="G169" s="19">
        <f t="shared" ref="G169:G170" si="10">E169*F169</f>
        <v>96</v>
      </c>
    </row>
    <row r="170" spans="2:9" x14ac:dyDescent="0.2">
      <c r="B170" s="17" t="s">
        <v>178</v>
      </c>
      <c r="C170" s="124" t="s">
        <v>636</v>
      </c>
      <c r="D170" s="37" t="s">
        <v>175</v>
      </c>
      <c r="E170" s="18">
        <v>1</v>
      </c>
      <c r="F170" s="12">
        <v>14.5</v>
      </c>
      <c r="G170" s="19">
        <f t="shared" si="10"/>
        <v>14.5</v>
      </c>
    </row>
    <row r="171" spans="2:9" s="4" customFormat="1" x14ac:dyDescent="0.2">
      <c r="B171" s="24"/>
      <c r="C171" s="164"/>
      <c r="D171" s="34" t="s">
        <v>176</v>
      </c>
      <c r="E171" s="25"/>
      <c r="F171" s="26"/>
      <c r="G171" s="27">
        <f>G172</f>
        <v>33.93</v>
      </c>
    </row>
    <row r="172" spans="2:9" x14ac:dyDescent="0.2">
      <c r="B172" s="42" t="s">
        <v>179</v>
      </c>
      <c r="C172" s="167" t="s">
        <v>636</v>
      </c>
      <c r="D172" s="43" t="s">
        <v>176</v>
      </c>
      <c r="E172" s="21">
        <v>1</v>
      </c>
      <c r="F172" s="44">
        <v>33.93</v>
      </c>
      <c r="G172" s="23">
        <f t="shared" ref="G172" si="11">E172*F172</f>
        <v>33.93</v>
      </c>
    </row>
    <row r="173" spans="2:9" ht="18" x14ac:dyDescent="0.25">
      <c r="B173" s="548" t="s">
        <v>235</v>
      </c>
      <c r="C173" s="549"/>
      <c r="D173" s="549"/>
      <c r="E173" s="549"/>
      <c r="F173" s="549"/>
      <c r="G173" s="56">
        <f>SUM(G174:G194)</f>
        <v>377.87000000000006</v>
      </c>
    </row>
    <row r="174" spans="2:9" x14ac:dyDescent="0.2">
      <c r="B174" s="51" t="s">
        <v>195</v>
      </c>
      <c r="C174" s="155" t="s">
        <v>635</v>
      </c>
      <c r="D174" s="52" t="s">
        <v>196</v>
      </c>
      <c r="E174" s="53">
        <v>1</v>
      </c>
      <c r="F174" s="54">
        <v>200.97</v>
      </c>
      <c r="G174" s="55">
        <f t="shared" ref="G174:G221" si="12">E174*F174</f>
        <v>200.97</v>
      </c>
    </row>
    <row r="175" spans="2:9" x14ac:dyDescent="0.2">
      <c r="B175" s="17" t="s">
        <v>197</v>
      </c>
      <c r="C175" s="155" t="s">
        <v>635</v>
      </c>
      <c r="D175" s="37" t="s">
        <v>198</v>
      </c>
      <c r="E175" s="18">
        <v>1</v>
      </c>
      <c r="F175" s="12">
        <v>15.16</v>
      </c>
      <c r="G175" s="19">
        <f t="shared" si="12"/>
        <v>15.16</v>
      </c>
    </row>
    <row r="176" spans="2:9" x14ac:dyDescent="0.2">
      <c r="B176" s="17" t="s">
        <v>199</v>
      </c>
      <c r="C176" s="155" t="s">
        <v>635</v>
      </c>
      <c r="D176" s="37" t="s">
        <v>200</v>
      </c>
      <c r="E176" s="18">
        <v>1</v>
      </c>
      <c r="F176" s="12">
        <v>3.2</v>
      </c>
      <c r="G176" s="19">
        <f t="shared" si="12"/>
        <v>3.2</v>
      </c>
    </row>
    <row r="177" spans="2:7" x14ac:dyDescent="0.2">
      <c r="B177" s="17" t="s">
        <v>201</v>
      </c>
      <c r="C177" s="155" t="s">
        <v>635</v>
      </c>
      <c r="D177" s="37" t="s">
        <v>202</v>
      </c>
      <c r="E177" s="18">
        <v>1</v>
      </c>
      <c r="F177" s="12">
        <v>29.3</v>
      </c>
      <c r="G177" s="19">
        <f t="shared" si="12"/>
        <v>29.3</v>
      </c>
    </row>
    <row r="178" spans="2:7" x14ac:dyDescent="0.2">
      <c r="B178" s="17" t="s">
        <v>203</v>
      </c>
      <c r="C178" s="155" t="s">
        <v>635</v>
      </c>
      <c r="D178" s="37" t="s">
        <v>204</v>
      </c>
      <c r="E178" s="18">
        <v>1</v>
      </c>
      <c r="F178" s="12">
        <v>7.67</v>
      </c>
      <c r="G178" s="19">
        <f t="shared" si="12"/>
        <v>7.67</v>
      </c>
    </row>
    <row r="179" spans="2:7" x14ac:dyDescent="0.2">
      <c r="B179" s="17" t="s">
        <v>205</v>
      </c>
      <c r="C179" s="155" t="s">
        <v>635</v>
      </c>
      <c r="D179" s="37" t="s">
        <v>206</v>
      </c>
      <c r="E179" s="18">
        <v>1</v>
      </c>
      <c r="F179" s="12">
        <v>25.62</v>
      </c>
      <c r="G179" s="19">
        <f t="shared" si="12"/>
        <v>25.62</v>
      </c>
    </row>
    <row r="180" spans="2:7" x14ac:dyDescent="0.2">
      <c r="B180" s="17" t="s">
        <v>207</v>
      </c>
      <c r="C180" s="155" t="s">
        <v>635</v>
      </c>
      <c r="D180" s="37" t="s">
        <v>208</v>
      </c>
      <c r="E180" s="18">
        <v>1</v>
      </c>
      <c r="F180" s="12">
        <v>6.1</v>
      </c>
      <c r="G180" s="19">
        <f t="shared" si="12"/>
        <v>6.1</v>
      </c>
    </row>
    <row r="181" spans="2:7" x14ac:dyDescent="0.2">
      <c r="B181" s="17" t="s">
        <v>209</v>
      </c>
      <c r="C181" s="155" t="s">
        <v>635</v>
      </c>
      <c r="D181" s="37" t="s">
        <v>210</v>
      </c>
      <c r="E181" s="18">
        <v>1</v>
      </c>
      <c r="F181" s="12">
        <v>13</v>
      </c>
      <c r="G181" s="19">
        <f t="shared" si="12"/>
        <v>13</v>
      </c>
    </row>
    <row r="182" spans="2:7" x14ac:dyDescent="0.2">
      <c r="B182" s="17" t="s">
        <v>211</v>
      </c>
      <c r="C182" s="155" t="s">
        <v>635</v>
      </c>
      <c r="D182" s="37" t="s">
        <v>409</v>
      </c>
      <c r="E182" s="18">
        <v>1</v>
      </c>
      <c r="F182" s="12">
        <v>8.5</v>
      </c>
      <c r="G182" s="19">
        <f>E182*F182</f>
        <v>8.5</v>
      </c>
    </row>
    <row r="183" spans="2:7" x14ac:dyDescent="0.2">
      <c r="B183" s="17" t="s">
        <v>212</v>
      </c>
      <c r="C183" s="155" t="s">
        <v>635</v>
      </c>
      <c r="D183" s="37" t="s">
        <v>409</v>
      </c>
      <c r="E183" s="18">
        <v>1</v>
      </c>
      <c r="F183" s="12">
        <v>9.5</v>
      </c>
      <c r="G183" s="19">
        <f>E183*F183</f>
        <v>9.5</v>
      </c>
    </row>
    <row r="184" spans="2:7" x14ac:dyDescent="0.2">
      <c r="B184" s="17" t="s">
        <v>213</v>
      </c>
      <c r="C184" s="155" t="s">
        <v>635</v>
      </c>
      <c r="D184" s="37" t="s">
        <v>214</v>
      </c>
      <c r="E184" s="18">
        <v>1</v>
      </c>
      <c r="F184" s="12">
        <v>30.6</v>
      </c>
      <c r="G184" s="41" t="s">
        <v>413</v>
      </c>
    </row>
    <row r="185" spans="2:7" x14ac:dyDescent="0.2">
      <c r="B185" s="17" t="s">
        <v>215</v>
      </c>
      <c r="C185" s="155" t="s">
        <v>635</v>
      </c>
      <c r="D185" s="37" t="s">
        <v>216</v>
      </c>
      <c r="E185" s="18">
        <v>1</v>
      </c>
      <c r="F185" s="12">
        <v>7.6</v>
      </c>
      <c r="G185" s="41" t="s">
        <v>414</v>
      </c>
    </row>
    <row r="186" spans="2:7" x14ac:dyDescent="0.2">
      <c r="B186" s="17" t="s">
        <v>217</v>
      </c>
      <c r="C186" s="155" t="s">
        <v>635</v>
      </c>
      <c r="D186" s="37" t="s">
        <v>218</v>
      </c>
      <c r="E186" s="18">
        <v>1</v>
      </c>
      <c r="F186" s="12">
        <v>2</v>
      </c>
      <c r="G186" s="19">
        <f t="shared" si="12"/>
        <v>2</v>
      </c>
    </row>
    <row r="187" spans="2:7" x14ac:dyDescent="0.2">
      <c r="B187" s="17" t="s">
        <v>219</v>
      </c>
      <c r="C187" s="155" t="s">
        <v>635</v>
      </c>
      <c r="D187" s="37" t="s">
        <v>220</v>
      </c>
      <c r="E187" s="18">
        <v>1</v>
      </c>
      <c r="F187" s="12">
        <v>7.7</v>
      </c>
      <c r="G187" s="19">
        <f t="shared" si="12"/>
        <v>7.7</v>
      </c>
    </row>
    <row r="188" spans="2:7" x14ac:dyDescent="0.2">
      <c r="B188" s="17" t="s">
        <v>221</v>
      </c>
      <c r="C188" s="155" t="s">
        <v>635</v>
      </c>
      <c r="D188" s="37" t="s">
        <v>222</v>
      </c>
      <c r="E188" s="18">
        <v>1</v>
      </c>
      <c r="F188" s="12">
        <v>4.3</v>
      </c>
      <c r="G188" s="19">
        <f t="shared" si="12"/>
        <v>4.3</v>
      </c>
    </row>
    <row r="189" spans="2:7" x14ac:dyDescent="0.2">
      <c r="B189" s="17" t="s">
        <v>223</v>
      </c>
      <c r="C189" s="155" t="s">
        <v>635</v>
      </c>
      <c r="D189" s="37" t="s">
        <v>224</v>
      </c>
      <c r="E189" s="18">
        <v>1</v>
      </c>
      <c r="F189" s="12">
        <v>3.2</v>
      </c>
      <c r="G189" s="19">
        <f t="shared" si="12"/>
        <v>3.2</v>
      </c>
    </row>
    <row r="190" spans="2:7" x14ac:dyDescent="0.2">
      <c r="B190" s="17" t="s">
        <v>225</v>
      </c>
      <c r="C190" s="155" t="s">
        <v>635</v>
      </c>
      <c r="D190" s="37" t="s">
        <v>226</v>
      </c>
      <c r="E190" s="18">
        <v>1</v>
      </c>
      <c r="F190" s="12">
        <v>15</v>
      </c>
      <c r="G190" s="19">
        <f t="shared" si="12"/>
        <v>15</v>
      </c>
    </row>
    <row r="191" spans="2:7" x14ac:dyDescent="0.2">
      <c r="B191" s="17" t="s">
        <v>227</v>
      </c>
      <c r="C191" s="155" t="s">
        <v>635</v>
      </c>
      <c r="D191" s="37" t="s">
        <v>228</v>
      </c>
      <c r="E191" s="18">
        <v>1</v>
      </c>
      <c r="F191" s="12">
        <v>7.8</v>
      </c>
      <c r="G191" s="19">
        <f t="shared" si="12"/>
        <v>7.8</v>
      </c>
    </row>
    <row r="192" spans="2:7" x14ac:dyDescent="0.2">
      <c r="B192" s="17" t="s">
        <v>229</v>
      </c>
      <c r="C192" s="155" t="s">
        <v>635</v>
      </c>
      <c r="D192" s="37" t="s">
        <v>230</v>
      </c>
      <c r="E192" s="18">
        <v>1</v>
      </c>
      <c r="F192" s="12">
        <v>6</v>
      </c>
      <c r="G192" s="19">
        <f t="shared" si="12"/>
        <v>6</v>
      </c>
    </row>
    <row r="193" spans="2:7" x14ac:dyDescent="0.2">
      <c r="B193" s="17" t="s">
        <v>231</v>
      </c>
      <c r="C193" s="155" t="s">
        <v>635</v>
      </c>
      <c r="D193" s="37" t="s">
        <v>232</v>
      </c>
      <c r="E193" s="18">
        <v>1</v>
      </c>
      <c r="F193" s="12">
        <v>2.0499999999999998</v>
      </c>
      <c r="G193" s="19">
        <f t="shared" si="12"/>
        <v>2.0499999999999998</v>
      </c>
    </row>
    <row r="194" spans="2:7" x14ac:dyDescent="0.2">
      <c r="B194" s="42" t="s">
        <v>233</v>
      </c>
      <c r="C194" s="128" t="s">
        <v>637</v>
      </c>
      <c r="D194" s="43" t="s">
        <v>234</v>
      </c>
      <c r="E194" s="21">
        <v>1</v>
      </c>
      <c r="F194" s="44">
        <v>10.8</v>
      </c>
      <c r="G194" s="23">
        <f t="shared" si="12"/>
        <v>10.8</v>
      </c>
    </row>
    <row r="195" spans="2:7" ht="18" x14ac:dyDescent="0.25">
      <c r="B195" s="530" t="s">
        <v>410</v>
      </c>
      <c r="C195" s="531"/>
      <c r="D195" s="531"/>
      <c r="E195" s="531"/>
      <c r="F195" s="531"/>
      <c r="G195" s="50">
        <f>G196+G200+G202+G214+G220</f>
        <v>438.20000000000005</v>
      </c>
    </row>
    <row r="196" spans="2:7" s="4" customFormat="1" x14ac:dyDescent="0.2">
      <c r="B196" s="24"/>
      <c r="C196" s="164"/>
      <c r="D196" s="34" t="s">
        <v>402</v>
      </c>
      <c r="E196" s="25"/>
      <c r="F196" s="26"/>
      <c r="G196" s="27">
        <f>SUM(G197:G199)</f>
        <v>106.4</v>
      </c>
    </row>
    <row r="197" spans="2:7" x14ac:dyDescent="0.2">
      <c r="B197" s="17" t="s">
        <v>258</v>
      </c>
      <c r="C197" s="128" t="s">
        <v>637</v>
      </c>
      <c r="D197" s="37" t="s">
        <v>240</v>
      </c>
      <c r="E197" s="18">
        <v>1</v>
      </c>
      <c r="F197" s="12">
        <v>45.4</v>
      </c>
      <c r="G197" s="19">
        <f>E197*F197</f>
        <v>45.4</v>
      </c>
    </row>
    <row r="198" spans="2:7" x14ac:dyDescent="0.2">
      <c r="B198" s="17" t="s">
        <v>259</v>
      </c>
      <c r="C198" s="128" t="s">
        <v>637</v>
      </c>
      <c r="D198" s="37" t="s">
        <v>241</v>
      </c>
      <c r="E198" s="18">
        <v>1</v>
      </c>
      <c r="F198" s="12">
        <v>26</v>
      </c>
      <c r="G198" s="19">
        <f>E198*F198</f>
        <v>26</v>
      </c>
    </row>
    <row r="199" spans="2:7" x14ac:dyDescent="0.2">
      <c r="B199" s="17" t="s">
        <v>260</v>
      </c>
      <c r="C199" s="128" t="s">
        <v>637</v>
      </c>
      <c r="D199" s="37" t="s">
        <v>242</v>
      </c>
      <c r="E199" s="18">
        <v>1</v>
      </c>
      <c r="F199" s="12">
        <v>35</v>
      </c>
      <c r="G199" s="19">
        <f>E199*F199</f>
        <v>35</v>
      </c>
    </row>
    <row r="200" spans="2:7" s="4" customFormat="1" x14ac:dyDescent="0.2">
      <c r="B200" s="24"/>
      <c r="C200" s="164"/>
      <c r="D200" s="34" t="s">
        <v>401</v>
      </c>
      <c r="E200" s="25"/>
      <c r="F200" s="26"/>
      <c r="G200" s="27">
        <f>G201</f>
        <v>5.3</v>
      </c>
    </row>
    <row r="201" spans="2:7" x14ac:dyDescent="0.2">
      <c r="B201" s="17" t="s">
        <v>268</v>
      </c>
      <c r="C201" s="128" t="s">
        <v>637</v>
      </c>
      <c r="D201" s="37" t="s">
        <v>250</v>
      </c>
      <c r="E201" s="18">
        <v>1</v>
      </c>
      <c r="F201" s="12">
        <v>5.3</v>
      </c>
      <c r="G201" s="19">
        <f>E201*F201</f>
        <v>5.3</v>
      </c>
    </row>
    <row r="202" spans="2:7" s="4" customFormat="1" x14ac:dyDescent="0.2">
      <c r="B202" s="24"/>
      <c r="C202" s="164"/>
      <c r="D202" s="34" t="s">
        <v>400</v>
      </c>
      <c r="E202" s="25"/>
      <c r="F202" s="26"/>
      <c r="G202" s="27">
        <f>SUM(G203:G213)</f>
        <v>192.10000000000002</v>
      </c>
    </row>
    <row r="203" spans="2:7" x14ac:dyDescent="0.2">
      <c r="B203" s="17" t="s">
        <v>255</v>
      </c>
      <c r="C203" s="124" t="s">
        <v>635</v>
      </c>
      <c r="D203" s="37" t="s">
        <v>237</v>
      </c>
      <c r="E203" s="18">
        <v>1</v>
      </c>
      <c r="F203" s="12">
        <v>6.8</v>
      </c>
      <c r="G203" s="19">
        <f>E203*F203</f>
        <v>6.8</v>
      </c>
    </row>
    <row r="204" spans="2:7" x14ac:dyDescent="0.2">
      <c r="B204" s="17" t="s">
        <v>256</v>
      </c>
      <c r="C204" s="124" t="s">
        <v>635</v>
      </c>
      <c r="D204" s="37" t="s">
        <v>238</v>
      </c>
      <c r="E204" s="18">
        <v>1</v>
      </c>
      <c r="F204" s="12">
        <v>6.3</v>
      </c>
      <c r="G204" s="19">
        <f>E204*F204</f>
        <v>6.3</v>
      </c>
    </row>
    <row r="205" spans="2:7" x14ac:dyDescent="0.2">
      <c r="B205" s="17" t="s">
        <v>261</v>
      </c>
      <c r="C205" s="128" t="s">
        <v>637</v>
      </c>
      <c r="D205" s="37" t="s">
        <v>243</v>
      </c>
      <c r="E205" s="18">
        <v>1</v>
      </c>
      <c r="F205" s="12">
        <v>21.6</v>
      </c>
      <c r="G205" s="19">
        <f t="shared" si="12"/>
        <v>21.6</v>
      </c>
    </row>
    <row r="206" spans="2:7" x14ac:dyDescent="0.2">
      <c r="B206" s="17" t="s">
        <v>263</v>
      </c>
      <c r="C206" s="128" t="s">
        <v>637</v>
      </c>
      <c r="D206" s="37" t="s">
        <v>245</v>
      </c>
      <c r="E206" s="18">
        <v>1</v>
      </c>
      <c r="F206" s="12">
        <v>13</v>
      </c>
      <c r="G206" s="19">
        <f t="shared" si="12"/>
        <v>13</v>
      </c>
    </row>
    <row r="207" spans="2:7" x14ac:dyDescent="0.2">
      <c r="B207" s="17" t="s">
        <v>264</v>
      </c>
      <c r="C207" s="128" t="s">
        <v>637</v>
      </c>
      <c r="D207" s="37" t="s">
        <v>246</v>
      </c>
      <c r="E207" s="18">
        <v>1</v>
      </c>
      <c r="F207" s="12">
        <v>13</v>
      </c>
      <c r="G207" s="19">
        <f t="shared" si="12"/>
        <v>13</v>
      </c>
    </row>
    <row r="208" spans="2:7" x14ac:dyDescent="0.2">
      <c r="B208" s="17" t="s">
        <v>265</v>
      </c>
      <c r="C208" s="128" t="s">
        <v>637</v>
      </c>
      <c r="D208" s="37" t="s">
        <v>247</v>
      </c>
      <c r="E208" s="18">
        <v>1</v>
      </c>
      <c r="F208" s="12">
        <v>22.7</v>
      </c>
      <c r="G208" s="19">
        <f t="shared" si="12"/>
        <v>22.7</v>
      </c>
    </row>
    <row r="209" spans="2:7" x14ac:dyDescent="0.2">
      <c r="B209" s="17" t="s">
        <v>266</v>
      </c>
      <c r="C209" s="128" t="s">
        <v>637</v>
      </c>
      <c r="D209" s="37" t="s">
        <v>248</v>
      </c>
      <c r="E209" s="18">
        <v>1</v>
      </c>
      <c r="F209" s="12">
        <v>22.2</v>
      </c>
      <c r="G209" s="19">
        <f t="shared" si="12"/>
        <v>22.2</v>
      </c>
    </row>
    <row r="210" spans="2:7" x14ac:dyDescent="0.2">
      <c r="B210" s="17" t="s">
        <v>267</v>
      </c>
      <c r="C210" s="128" t="s">
        <v>637</v>
      </c>
      <c r="D210" s="37" t="s">
        <v>249</v>
      </c>
      <c r="E210" s="18">
        <v>1</v>
      </c>
      <c r="F210" s="12">
        <v>7.9</v>
      </c>
      <c r="G210" s="19">
        <f t="shared" si="12"/>
        <v>7.9</v>
      </c>
    </row>
    <row r="211" spans="2:7" x14ac:dyDescent="0.2">
      <c r="B211" s="17" t="s">
        <v>269</v>
      </c>
      <c r="C211" s="128" t="s">
        <v>637</v>
      </c>
      <c r="D211" s="37" t="s">
        <v>251</v>
      </c>
      <c r="E211" s="18">
        <v>1</v>
      </c>
      <c r="F211" s="12">
        <v>43.7</v>
      </c>
      <c r="G211" s="19">
        <f t="shared" si="12"/>
        <v>43.7</v>
      </c>
    </row>
    <row r="212" spans="2:7" x14ac:dyDescent="0.2">
      <c r="B212" s="17" t="s">
        <v>270</v>
      </c>
      <c r="C212" s="128" t="s">
        <v>637</v>
      </c>
      <c r="D212" s="37" t="s">
        <v>252</v>
      </c>
      <c r="E212" s="18">
        <v>1</v>
      </c>
      <c r="F212" s="12">
        <v>24.4</v>
      </c>
      <c r="G212" s="19">
        <f t="shared" si="12"/>
        <v>24.4</v>
      </c>
    </row>
    <row r="213" spans="2:7" x14ac:dyDescent="0.2">
      <c r="B213" s="17" t="s">
        <v>271</v>
      </c>
      <c r="C213" s="128" t="s">
        <v>637</v>
      </c>
      <c r="D213" s="37" t="s">
        <v>253</v>
      </c>
      <c r="E213" s="18">
        <v>1</v>
      </c>
      <c r="F213" s="12">
        <v>10.5</v>
      </c>
      <c r="G213" s="19">
        <f t="shared" si="12"/>
        <v>10.5</v>
      </c>
    </row>
    <row r="214" spans="2:7" s="4" customFormat="1" x14ac:dyDescent="0.2">
      <c r="B214" s="24"/>
      <c r="C214" s="164"/>
      <c r="D214" s="34" t="s">
        <v>392</v>
      </c>
      <c r="E214" s="25"/>
      <c r="F214" s="26"/>
      <c r="G214" s="27">
        <f>SUM(G215:G219)</f>
        <v>25.299999999999997</v>
      </c>
    </row>
    <row r="215" spans="2:7" x14ac:dyDescent="0.2">
      <c r="B215" s="17" t="s">
        <v>254</v>
      </c>
      <c r="C215" s="124" t="s">
        <v>635</v>
      </c>
      <c r="D215" s="37" t="s">
        <v>236</v>
      </c>
      <c r="E215" s="18">
        <v>1</v>
      </c>
      <c r="F215" s="12">
        <v>3.5</v>
      </c>
      <c r="G215" s="19">
        <f>E215*F215</f>
        <v>3.5</v>
      </c>
    </row>
    <row r="216" spans="2:7" x14ac:dyDescent="0.2">
      <c r="B216" s="17" t="s">
        <v>257</v>
      </c>
      <c r="C216" s="124" t="s">
        <v>635</v>
      </c>
      <c r="D216" s="37" t="s">
        <v>239</v>
      </c>
      <c r="E216" s="18">
        <v>1</v>
      </c>
      <c r="F216" s="12">
        <v>9.1999999999999993</v>
      </c>
      <c r="G216" s="19">
        <f>E216*F216</f>
        <v>9.1999999999999993</v>
      </c>
    </row>
    <row r="217" spans="2:7" x14ac:dyDescent="0.2">
      <c r="B217" s="17" t="s">
        <v>272</v>
      </c>
      <c r="C217" s="124" t="s">
        <v>636</v>
      </c>
      <c r="D217" s="37" t="s">
        <v>236</v>
      </c>
      <c r="E217" s="18">
        <v>1</v>
      </c>
      <c r="F217" s="12">
        <v>4.2</v>
      </c>
      <c r="G217" s="19">
        <f t="shared" si="12"/>
        <v>4.2</v>
      </c>
    </row>
    <row r="218" spans="2:7" x14ac:dyDescent="0.2">
      <c r="B218" s="17" t="s">
        <v>273</v>
      </c>
      <c r="C218" s="124" t="s">
        <v>636</v>
      </c>
      <c r="D218" s="37" t="s">
        <v>236</v>
      </c>
      <c r="E218" s="18">
        <v>1</v>
      </c>
      <c r="F218" s="12">
        <v>4.2</v>
      </c>
      <c r="G218" s="19">
        <f t="shared" si="12"/>
        <v>4.2</v>
      </c>
    </row>
    <row r="219" spans="2:7" x14ac:dyDescent="0.2">
      <c r="B219" s="17" t="s">
        <v>274</v>
      </c>
      <c r="C219" s="124" t="s">
        <v>636</v>
      </c>
      <c r="D219" s="37" t="s">
        <v>236</v>
      </c>
      <c r="E219" s="18">
        <v>1</v>
      </c>
      <c r="F219" s="12">
        <v>4.2</v>
      </c>
      <c r="G219" s="19">
        <f t="shared" si="12"/>
        <v>4.2</v>
      </c>
    </row>
    <row r="220" spans="2:7" s="4" customFormat="1" x14ac:dyDescent="0.2">
      <c r="B220" s="24"/>
      <c r="C220" s="25"/>
      <c r="D220" s="34" t="s">
        <v>244</v>
      </c>
      <c r="E220" s="25"/>
      <c r="F220" s="26"/>
      <c r="G220" s="27">
        <f>SUM(G221:G222)</f>
        <v>109.1</v>
      </c>
    </row>
    <row r="221" spans="2:7" x14ac:dyDescent="0.2">
      <c r="B221" s="17" t="s">
        <v>275</v>
      </c>
      <c r="C221" s="124" t="s">
        <v>638</v>
      </c>
      <c r="D221" s="37" t="s">
        <v>244</v>
      </c>
      <c r="E221" s="18">
        <v>1</v>
      </c>
      <c r="F221" s="12">
        <v>48.2</v>
      </c>
      <c r="G221" s="19">
        <f t="shared" si="12"/>
        <v>48.2</v>
      </c>
    </row>
    <row r="222" spans="2:7" x14ac:dyDescent="0.2">
      <c r="B222" s="42" t="s">
        <v>262</v>
      </c>
      <c r="C222" s="167" t="s">
        <v>637</v>
      </c>
      <c r="D222" s="43" t="s">
        <v>244</v>
      </c>
      <c r="E222" s="21">
        <v>1</v>
      </c>
      <c r="F222" s="44">
        <v>60.9</v>
      </c>
      <c r="G222" s="23">
        <f t="shared" ref="G222" si="13">E222*F222</f>
        <v>60.9</v>
      </c>
    </row>
    <row r="223" spans="2:7" ht="18" x14ac:dyDescent="0.25">
      <c r="B223" s="530" t="s">
        <v>411</v>
      </c>
      <c r="C223" s="531"/>
      <c r="D223" s="531"/>
      <c r="E223" s="531"/>
      <c r="F223" s="531"/>
      <c r="G223" s="50">
        <f>G224+G229+G234+G245+G253</f>
        <v>287.77999999999997</v>
      </c>
    </row>
    <row r="224" spans="2:7" s="4" customFormat="1" x14ac:dyDescent="0.2">
      <c r="B224" s="24"/>
      <c r="C224" s="164"/>
      <c r="D224" s="34" t="s">
        <v>405</v>
      </c>
      <c r="E224" s="25"/>
      <c r="F224" s="26"/>
      <c r="G224" s="27">
        <f>SUM(G225:G228)</f>
        <v>50.199999999999996</v>
      </c>
    </row>
    <row r="225" spans="2:7" x14ac:dyDescent="0.2">
      <c r="B225" s="17" t="s">
        <v>24</v>
      </c>
      <c r="C225" s="124" t="s">
        <v>635</v>
      </c>
      <c r="D225" s="37" t="s">
        <v>22</v>
      </c>
      <c r="E225" s="18">
        <v>1</v>
      </c>
      <c r="F225" s="12">
        <v>22.6</v>
      </c>
      <c r="G225" s="19">
        <f>E225*F225</f>
        <v>22.6</v>
      </c>
    </row>
    <row r="226" spans="2:7" x14ac:dyDescent="0.2">
      <c r="B226" s="17" t="s">
        <v>25</v>
      </c>
      <c r="C226" s="124" t="s">
        <v>635</v>
      </c>
      <c r="D226" s="37" t="s">
        <v>23</v>
      </c>
      <c r="E226" s="18">
        <v>1</v>
      </c>
      <c r="F226" s="12">
        <v>16.899999999999999</v>
      </c>
      <c r="G226" s="19">
        <f>E226*F226</f>
        <v>16.899999999999999</v>
      </c>
    </row>
    <row r="227" spans="2:7" x14ac:dyDescent="0.2">
      <c r="B227" s="17" t="s">
        <v>276</v>
      </c>
      <c r="C227" s="124" t="s">
        <v>635</v>
      </c>
      <c r="D227" s="37" t="s">
        <v>403</v>
      </c>
      <c r="E227" s="18">
        <v>1</v>
      </c>
      <c r="F227" s="12">
        <v>3.8</v>
      </c>
      <c r="G227" s="19">
        <f>E227*F227</f>
        <v>3.8</v>
      </c>
    </row>
    <row r="228" spans="2:7" x14ac:dyDescent="0.2">
      <c r="B228" s="17" t="s">
        <v>277</v>
      </c>
      <c r="C228" s="124" t="s">
        <v>635</v>
      </c>
      <c r="D228" s="37" t="s">
        <v>404</v>
      </c>
      <c r="E228" s="18">
        <v>1</v>
      </c>
      <c r="F228" s="12">
        <v>6.9</v>
      </c>
      <c r="G228" s="19">
        <f>E228*F228</f>
        <v>6.9</v>
      </c>
    </row>
    <row r="229" spans="2:7" s="4" customFormat="1" x14ac:dyDescent="0.2">
      <c r="B229" s="24"/>
      <c r="C229" s="164"/>
      <c r="D229" s="34" t="s">
        <v>406</v>
      </c>
      <c r="E229" s="25"/>
      <c r="F229" s="26"/>
      <c r="G229" s="27">
        <f>SUM(G230:G233)</f>
        <v>19.900000000000002</v>
      </c>
    </row>
    <row r="230" spans="2:7" x14ac:dyDescent="0.2">
      <c r="B230" s="17" t="s">
        <v>289</v>
      </c>
      <c r="C230" s="124" t="s">
        <v>635</v>
      </c>
      <c r="D230" s="37" t="s">
        <v>407</v>
      </c>
      <c r="E230" s="18">
        <v>1</v>
      </c>
      <c r="F230" s="12">
        <v>5.85</v>
      </c>
      <c r="G230" s="19">
        <f>E230*F230</f>
        <v>5.85</v>
      </c>
    </row>
    <row r="231" spans="2:7" x14ac:dyDescent="0.2">
      <c r="B231" s="17" t="s">
        <v>59</v>
      </c>
      <c r="C231" s="124" t="s">
        <v>635</v>
      </c>
      <c r="D231" s="37" t="s">
        <v>394</v>
      </c>
      <c r="E231" s="18">
        <v>1</v>
      </c>
      <c r="F231" s="12">
        <v>8.25</v>
      </c>
      <c r="G231" s="19">
        <f t="shared" ref="G231:G233" si="14">E231*F231</f>
        <v>8.25</v>
      </c>
    </row>
    <row r="232" spans="2:7" x14ac:dyDescent="0.2">
      <c r="B232" s="17" t="s">
        <v>60</v>
      </c>
      <c r="C232" s="124" t="s">
        <v>635</v>
      </c>
      <c r="D232" s="37" t="s">
        <v>395</v>
      </c>
      <c r="E232" s="18">
        <v>1</v>
      </c>
      <c r="F232" s="12">
        <v>4</v>
      </c>
      <c r="G232" s="19">
        <f t="shared" si="14"/>
        <v>4</v>
      </c>
    </row>
    <row r="233" spans="2:7" x14ac:dyDescent="0.2">
      <c r="B233" s="17" t="s">
        <v>61</v>
      </c>
      <c r="C233" s="124" t="s">
        <v>635</v>
      </c>
      <c r="D233" s="37" t="s">
        <v>396</v>
      </c>
      <c r="E233" s="18">
        <v>1</v>
      </c>
      <c r="F233" s="12">
        <v>1.8</v>
      </c>
      <c r="G233" s="19">
        <f t="shared" si="14"/>
        <v>1.8</v>
      </c>
    </row>
    <row r="234" spans="2:7" s="4" customFormat="1" x14ac:dyDescent="0.2">
      <c r="B234" s="24"/>
      <c r="C234" s="164"/>
      <c r="D234" s="34" t="s">
        <v>397</v>
      </c>
      <c r="E234" s="25"/>
      <c r="F234" s="26"/>
      <c r="G234" s="27">
        <f>SUM(G235:G244)</f>
        <v>96.93</v>
      </c>
    </row>
    <row r="235" spans="2:7" x14ac:dyDescent="0.2">
      <c r="B235" s="17" t="s">
        <v>290</v>
      </c>
      <c r="C235" s="124" t="s">
        <v>635</v>
      </c>
      <c r="D235" s="37" t="s">
        <v>291</v>
      </c>
      <c r="E235" s="18">
        <v>1</v>
      </c>
      <c r="F235" s="12">
        <v>6.24</v>
      </c>
      <c r="G235" s="19">
        <f>E235*F235</f>
        <v>6.24</v>
      </c>
    </row>
    <row r="236" spans="2:7" x14ac:dyDescent="0.2">
      <c r="B236" s="17" t="s">
        <v>292</v>
      </c>
      <c r="C236" s="124" t="s">
        <v>635</v>
      </c>
      <c r="D236" s="37" t="s">
        <v>293</v>
      </c>
      <c r="E236" s="18">
        <v>1</v>
      </c>
      <c r="F236" s="12">
        <v>6.2</v>
      </c>
      <c r="G236" s="19">
        <f>E236*F236</f>
        <v>6.2</v>
      </c>
    </row>
    <row r="237" spans="2:7" x14ac:dyDescent="0.2">
      <c r="B237" s="17" t="s">
        <v>300</v>
      </c>
      <c r="C237" s="124" t="s">
        <v>636</v>
      </c>
      <c r="D237" s="37" t="s">
        <v>291</v>
      </c>
      <c r="E237" s="18">
        <v>1</v>
      </c>
      <c r="F237" s="12">
        <v>18.989999999999998</v>
      </c>
      <c r="G237" s="19">
        <f>E237*F237</f>
        <v>18.989999999999998</v>
      </c>
    </row>
    <row r="238" spans="2:7" x14ac:dyDescent="0.2">
      <c r="B238" s="17" t="s">
        <v>301</v>
      </c>
      <c r="C238" s="124" t="s">
        <v>636</v>
      </c>
      <c r="D238" s="37" t="s">
        <v>293</v>
      </c>
      <c r="E238" s="18">
        <v>1</v>
      </c>
      <c r="F238" s="12">
        <v>10.9</v>
      </c>
      <c r="G238" s="19">
        <f>E238*F238</f>
        <v>10.9</v>
      </c>
    </row>
    <row r="239" spans="2:7" x14ac:dyDescent="0.2">
      <c r="B239" s="17" t="s">
        <v>302</v>
      </c>
      <c r="C239" s="124" t="s">
        <v>636</v>
      </c>
      <c r="D239" s="37" t="s">
        <v>291</v>
      </c>
      <c r="E239" s="18">
        <v>1</v>
      </c>
      <c r="F239" s="12">
        <v>9.6999999999999993</v>
      </c>
      <c r="G239" s="19">
        <f t="shared" ref="G239:G242" si="15">E239*F239</f>
        <v>9.6999999999999993</v>
      </c>
    </row>
    <row r="240" spans="2:7" x14ac:dyDescent="0.2">
      <c r="B240" s="17" t="s">
        <v>303</v>
      </c>
      <c r="C240" s="124" t="s">
        <v>636</v>
      </c>
      <c r="D240" s="37" t="s">
        <v>293</v>
      </c>
      <c r="E240" s="18">
        <v>1</v>
      </c>
      <c r="F240" s="12">
        <v>8.6999999999999993</v>
      </c>
      <c r="G240" s="19">
        <f t="shared" si="15"/>
        <v>8.6999999999999993</v>
      </c>
    </row>
    <row r="241" spans="2:7" x14ac:dyDescent="0.2">
      <c r="B241" s="17" t="s">
        <v>304</v>
      </c>
      <c r="C241" s="124" t="s">
        <v>636</v>
      </c>
      <c r="D241" s="37" t="s">
        <v>293</v>
      </c>
      <c r="E241" s="18">
        <v>1</v>
      </c>
      <c r="F241" s="12">
        <v>8.6999999999999993</v>
      </c>
      <c r="G241" s="19">
        <f t="shared" si="15"/>
        <v>8.6999999999999993</v>
      </c>
    </row>
    <row r="242" spans="2:7" x14ac:dyDescent="0.2">
      <c r="B242" s="17" t="s">
        <v>305</v>
      </c>
      <c r="C242" s="124" t="s">
        <v>636</v>
      </c>
      <c r="D242" s="37" t="s">
        <v>306</v>
      </c>
      <c r="E242" s="18">
        <v>1</v>
      </c>
      <c r="F242" s="12">
        <v>9.6999999999999993</v>
      </c>
      <c r="G242" s="19">
        <f t="shared" si="15"/>
        <v>9.6999999999999993</v>
      </c>
    </row>
    <row r="243" spans="2:7" x14ac:dyDescent="0.2">
      <c r="B243" s="17" t="s">
        <v>278</v>
      </c>
      <c r="C243" s="124" t="s">
        <v>635</v>
      </c>
      <c r="D243" s="37" t="s">
        <v>398</v>
      </c>
      <c r="E243" s="18">
        <v>1</v>
      </c>
      <c r="F243" s="12">
        <v>8.6</v>
      </c>
      <c r="G243" s="19">
        <f>E243*F243</f>
        <v>8.6</v>
      </c>
    </row>
    <row r="244" spans="2:7" x14ac:dyDescent="0.2">
      <c r="B244" s="17" t="s">
        <v>279</v>
      </c>
      <c r="C244" s="124" t="s">
        <v>635</v>
      </c>
      <c r="D244" s="37" t="s">
        <v>398</v>
      </c>
      <c r="E244" s="18">
        <v>1</v>
      </c>
      <c r="F244" s="12">
        <v>9.1999999999999993</v>
      </c>
      <c r="G244" s="19">
        <f>E244*F244</f>
        <v>9.1999999999999993</v>
      </c>
    </row>
    <row r="245" spans="2:7" s="4" customFormat="1" x14ac:dyDescent="0.2">
      <c r="B245" s="24"/>
      <c r="C245" s="164"/>
      <c r="D245" s="34" t="s">
        <v>408</v>
      </c>
      <c r="E245" s="25"/>
      <c r="F245" s="26"/>
      <c r="G245" s="27">
        <f>SUM(G246:G252)</f>
        <v>67.75</v>
      </c>
    </row>
    <row r="246" spans="2:7" x14ac:dyDescent="0.2">
      <c r="B246" s="17" t="s">
        <v>280</v>
      </c>
      <c r="C246" s="124" t="s">
        <v>635</v>
      </c>
      <c r="D246" s="37" t="s">
        <v>408</v>
      </c>
      <c r="E246" s="18">
        <v>1</v>
      </c>
      <c r="F246" s="12">
        <v>4.8</v>
      </c>
      <c r="G246" s="19">
        <f t="shared" ref="G246:G252" si="16">E246*F246</f>
        <v>4.8</v>
      </c>
    </row>
    <row r="247" spans="2:7" x14ac:dyDescent="0.2">
      <c r="B247" s="17" t="s">
        <v>287</v>
      </c>
      <c r="C247" s="124" t="s">
        <v>635</v>
      </c>
      <c r="D247" s="37" t="s">
        <v>408</v>
      </c>
      <c r="E247" s="18">
        <v>1</v>
      </c>
      <c r="F247" s="12">
        <v>4.9000000000000004</v>
      </c>
      <c r="G247" s="19">
        <f t="shared" si="16"/>
        <v>4.9000000000000004</v>
      </c>
    </row>
    <row r="248" spans="2:7" x14ac:dyDescent="0.2">
      <c r="B248" s="17" t="s">
        <v>288</v>
      </c>
      <c r="C248" s="124" t="s">
        <v>635</v>
      </c>
      <c r="D248" s="37" t="s">
        <v>408</v>
      </c>
      <c r="E248" s="18">
        <v>1</v>
      </c>
      <c r="F248" s="12">
        <v>4.9000000000000004</v>
      </c>
      <c r="G248" s="19">
        <f t="shared" si="16"/>
        <v>4.9000000000000004</v>
      </c>
    </row>
    <row r="249" spans="2:7" x14ac:dyDescent="0.2">
      <c r="B249" s="17" t="s">
        <v>283</v>
      </c>
      <c r="C249" s="124" t="s">
        <v>635</v>
      </c>
      <c r="D249" s="37" t="s">
        <v>284</v>
      </c>
      <c r="E249" s="18">
        <v>1</v>
      </c>
      <c r="F249" s="12">
        <v>20.09</v>
      </c>
      <c r="G249" s="19">
        <f t="shared" si="16"/>
        <v>20.09</v>
      </c>
    </row>
    <row r="250" spans="2:7" x14ac:dyDescent="0.2">
      <c r="B250" s="17" t="s">
        <v>285</v>
      </c>
      <c r="C250" s="124" t="s">
        <v>635</v>
      </c>
      <c r="D250" s="37" t="s">
        <v>286</v>
      </c>
      <c r="E250" s="18">
        <v>1</v>
      </c>
      <c r="F250" s="12">
        <v>15.76</v>
      </c>
      <c r="G250" s="19">
        <f t="shared" si="16"/>
        <v>15.76</v>
      </c>
    </row>
    <row r="251" spans="2:7" x14ac:dyDescent="0.2">
      <c r="B251" s="17" t="s">
        <v>281</v>
      </c>
      <c r="C251" s="124" t="s">
        <v>635</v>
      </c>
      <c r="D251" s="37" t="s">
        <v>393</v>
      </c>
      <c r="E251" s="18">
        <v>1</v>
      </c>
      <c r="F251" s="12">
        <v>8.5</v>
      </c>
      <c r="G251" s="19">
        <f t="shared" si="16"/>
        <v>8.5</v>
      </c>
    </row>
    <row r="252" spans="2:7" x14ac:dyDescent="0.2">
      <c r="B252" s="17" t="s">
        <v>282</v>
      </c>
      <c r="C252" s="124" t="s">
        <v>635</v>
      </c>
      <c r="D252" s="37" t="s">
        <v>393</v>
      </c>
      <c r="E252" s="18">
        <v>1</v>
      </c>
      <c r="F252" s="12">
        <v>8.8000000000000007</v>
      </c>
      <c r="G252" s="19">
        <f t="shared" si="16"/>
        <v>8.8000000000000007</v>
      </c>
    </row>
    <row r="253" spans="2:7" s="4" customFormat="1" x14ac:dyDescent="0.2">
      <c r="B253" s="24"/>
      <c r="C253" s="164"/>
      <c r="D253" s="34" t="s">
        <v>399</v>
      </c>
      <c r="E253" s="25"/>
      <c r="F253" s="26"/>
      <c r="G253" s="27">
        <f>SUM(G254:G257)</f>
        <v>52.999999999999993</v>
      </c>
    </row>
    <row r="254" spans="2:7" x14ac:dyDescent="0.2">
      <c r="B254" s="17" t="s">
        <v>294</v>
      </c>
      <c r="C254" s="124" t="s">
        <v>637</v>
      </c>
      <c r="D254" s="37" t="s">
        <v>295</v>
      </c>
      <c r="E254" s="18">
        <v>1</v>
      </c>
      <c r="F254" s="12">
        <v>18.899999999999999</v>
      </c>
      <c r="G254" s="19">
        <f>E254*F254</f>
        <v>18.899999999999999</v>
      </c>
    </row>
    <row r="255" spans="2:7" x14ac:dyDescent="0.2">
      <c r="B255" s="17" t="s">
        <v>296</v>
      </c>
      <c r="C255" s="124" t="s">
        <v>637</v>
      </c>
      <c r="D255" s="37" t="s">
        <v>291</v>
      </c>
      <c r="E255" s="18">
        <v>1</v>
      </c>
      <c r="F255" s="12">
        <v>10.9</v>
      </c>
      <c r="G255" s="19">
        <f>E255*F255</f>
        <v>10.9</v>
      </c>
    </row>
    <row r="256" spans="2:7" x14ac:dyDescent="0.2">
      <c r="B256" s="17" t="s">
        <v>297</v>
      </c>
      <c r="C256" s="124" t="s">
        <v>637</v>
      </c>
      <c r="D256" s="37" t="s">
        <v>298</v>
      </c>
      <c r="E256" s="18">
        <v>1</v>
      </c>
      <c r="F256" s="12">
        <v>11.8</v>
      </c>
      <c r="G256" s="19">
        <f>E256*F256</f>
        <v>11.8</v>
      </c>
    </row>
    <row r="257" spans="2:7" x14ac:dyDescent="0.2">
      <c r="B257" s="42" t="s">
        <v>299</v>
      </c>
      <c r="C257" s="124" t="s">
        <v>637</v>
      </c>
      <c r="D257" s="43" t="s">
        <v>293</v>
      </c>
      <c r="E257" s="21">
        <v>1</v>
      </c>
      <c r="F257" s="44">
        <v>11.4</v>
      </c>
      <c r="G257" s="23">
        <f>E257*F257</f>
        <v>11.4</v>
      </c>
    </row>
  </sheetData>
  <mergeCells count="11">
    <mergeCell ref="E2:G2"/>
    <mergeCell ref="B67:F67"/>
    <mergeCell ref="B119:F119"/>
    <mergeCell ref="B167:F167"/>
    <mergeCell ref="B173:F173"/>
    <mergeCell ref="B223:F223"/>
    <mergeCell ref="B5:F5"/>
    <mergeCell ref="B7:F7"/>
    <mergeCell ref="B17:F17"/>
    <mergeCell ref="B39:F39"/>
    <mergeCell ref="B195:F195"/>
  </mergeCells>
  <phoneticPr fontId="8" type="noConversion"/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4D6F6-2EEC-4BCC-BD0B-4D79E90550FB}">
  <sheetPr>
    <tabColor rgb="FF92D050"/>
    <pageSetUpPr fitToPage="1"/>
  </sheetPr>
  <dimension ref="A1:Q258"/>
  <sheetViews>
    <sheetView topLeftCell="A234" zoomScale="85" zoomScaleNormal="85" workbookViewId="0">
      <selection activeCell="E158" sqref="E158"/>
    </sheetView>
  </sheetViews>
  <sheetFormatPr baseColWidth="10" defaultRowHeight="12.75" x14ac:dyDescent="0.2"/>
  <cols>
    <col min="1" max="1" width="4.140625" customWidth="1"/>
    <col min="2" max="2" width="6.7109375" customWidth="1"/>
    <col min="3" max="3" width="39.5703125" style="33" customWidth="1"/>
    <col min="4" max="4" width="4.85546875" style="69" bestFit="1" customWidth="1"/>
    <col min="5" max="5" width="26.42578125" style="69" customWidth="1"/>
    <col min="6" max="6" width="6.42578125" style="11" customWidth="1"/>
    <col min="7" max="7" width="10.85546875" style="6" customWidth="1"/>
    <col min="8" max="8" width="16.140625" style="6" bestFit="1" customWidth="1"/>
    <col min="9" max="9" width="1.5703125" customWidth="1"/>
    <col min="11" max="15" width="0" hidden="1" customWidth="1"/>
  </cols>
  <sheetData>
    <row r="1" spans="1:10" ht="15.75" x14ac:dyDescent="0.25">
      <c r="B1" s="2" t="s">
        <v>0</v>
      </c>
      <c r="C1" s="30"/>
      <c r="D1" s="66"/>
      <c r="E1" s="66"/>
      <c r="F1" s="9"/>
      <c r="G1" s="5"/>
      <c r="H1" s="5"/>
      <c r="I1" s="2"/>
      <c r="J1" s="2"/>
    </row>
    <row r="2" spans="1:10" ht="25.5" x14ac:dyDescent="0.35">
      <c r="B2" s="1"/>
      <c r="C2" s="31"/>
      <c r="D2" s="67"/>
      <c r="E2" s="67"/>
      <c r="F2" s="552" t="s">
        <v>580</v>
      </c>
      <c r="G2" s="553"/>
      <c r="H2" s="553"/>
    </row>
    <row r="3" spans="1:10" ht="15" x14ac:dyDescent="0.2">
      <c r="A3" t="s">
        <v>809</v>
      </c>
      <c r="B3" s="3" t="s">
        <v>1</v>
      </c>
      <c r="C3" s="32" t="s">
        <v>2</v>
      </c>
      <c r="D3" s="68"/>
      <c r="E3" s="68"/>
      <c r="F3" s="10" t="s">
        <v>3</v>
      </c>
      <c r="G3" s="7" t="s">
        <v>4</v>
      </c>
      <c r="H3" s="7" t="s">
        <v>5</v>
      </c>
    </row>
    <row r="4" spans="1:10" ht="3" customHeight="1" x14ac:dyDescent="0.2"/>
    <row r="5" spans="1:10" ht="20.25" x14ac:dyDescent="0.3">
      <c r="A5" t="s">
        <v>809</v>
      </c>
      <c r="B5" s="532" t="s">
        <v>6</v>
      </c>
      <c r="C5" s="532"/>
      <c r="D5" s="532"/>
      <c r="E5" s="532"/>
      <c r="F5" s="532"/>
      <c r="G5" s="532"/>
      <c r="H5" s="8">
        <f>H7+H16+H37+H52+H68+H146+H168+H203</f>
        <v>9730.25</v>
      </c>
    </row>
    <row r="6" spans="1:10" ht="3.6" customHeight="1" x14ac:dyDescent="0.2"/>
    <row r="7" spans="1:10" ht="18" x14ac:dyDescent="0.25">
      <c r="A7" t="s">
        <v>809</v>
      </c>
      <c r="B7" s="533" t="s">
        <v>7</v>
      </c>
      <c r="C7" s="534"/>
      <c r="D7" s="534"/>
      <c r="E7" s="534"/>
      <c r="F7" s="534"/>
      <c r="G7" s="534"/>
      <c r="H7" s="29">
        <f>H8+H13</f>
        <v>435</v>
      </c>
    </row>
    <row r="8" spans="1:10" s="4" customFormat="1" x14ac:dyDescent="0.2">
      <c r="A8" s="4" t="s">
        <v>809</v>
      </c>
      <c r="B8" s="24"/>
      <c r="C8" s="34" t="s">
        <v>8</v>
      </c>
      <c r="D8" s="70"/>
      <c r="E8" s="70"/>
      <c r="F8" s="25"/>
      <c r="G8" s="26"/>
      <c r="H8" s="27">
        <f>SUM(H9:H12)</f>
        <v>265</v>
      </c>
    </row>
    <row r="9" spans="1:10" x14ac:dyDescent="0.2">
      <c r="B9" s="127" t="s">
        <v>648</v>
      </c>
      <c r="C9" s="121" t="s">
        <v>848</v>
      </c>
      <c r="D9" s="71"/>
      <c r="E9" s="71"/>
      <c r="F9" s="18">
        <v>1</v>
      </c>
      <c r="G9" s="19">
        <v>100</v>
      </c>
      <c r="H9" s="19">
        <f>F9*G9</f>
        <v>100</v>
      </c>
    </row>
    <row r="10" spans="1:10" x14ac:dyDescent="0.2">
      <c r="B10" s="127" t="s">
        <v>825</v>
      </c>
      <c r="C10" s="198" t="s">
        <v>824</v>
      </c>
      <c r="D10" s="71"/>
      <c r="E10" s="71"/>
      <c r="F10" s="18">
        <v>1</v>
      </c>
      <c r="G10" s="118">
        <v>135</v>
      </c>
      <c r="H10" s="118">
        <f>F10*G10</f>
        <v>135</v>
      </c>
    </row>
    <row r="11" spans="1:10" x14ac:dyDescent="0.2">
      <c r="B11" s="127" t="s">
        <v>649</v>
      </c>
      <c r="C11" s="121" t="s">
        <v>849</v>
      </c>
      <c r="D11" s="71"/>
      <c r="E11" s="71"/>
      <c r="F11" s="18">
        <v>2</v>
      </c>
      <c r="G11" s="19">
        <v>10</v>
      </c>
      <c r="H11" s="19">
        <f t="shared" ref="H11" si="0">F11*G11</f>
        <v>20</v>
      </c>
    </row>
    <row r="12" spans="1:10" x14ac:dyDescent="0.2">
      <c r="B12" s="127" t="s">
        <v>827</v>
      </c>
      <c r="C12" s="198" t="s">
        <v>826</v>
      </c>
      <c r="D12" s="71"/>
      <c r="E12" s="71"/>
      <c r="F12" s="18">
        <v>1</v>
      </c>
      <c r="G12" s="118">
        <v>10</v>
      </c>
      <c r="H12" s="118">
        <f t="shared" ref="H12" si="1">F12*G12</f>
        <v>10</v>
      </c>
    </row>
    <row r="13" spans="1:10" s="4" customFormat="1" x14ac:dyDescent="0.2">
      <c r="A13" s="4" t="s">
        <v>809</v>
      </c>
      <c r="B13" s="24"/>
      <c r="C13" s="34" t="s">
        <v>415</v>
      </c>
      <c r="D13" s="70"/>
      <c r="E13" s="70"/>
      <c r="F13" s="25"/>
      <c r="G13" s="26"/>
      <c r="H13" s="27">
        <f>SUM(H14:H15)</f>
        <v>170</v>
      </c>
    </row>
    <row r="14" spans="1:10" x14ac:dyDescent="0.2">
      <c r="B14" s="127" t="s">
        <v>650</v>
      </c>
      <c r="C14" s="121" t="s">
        <v>561</v>
      </c>
      <c r="D14" s="71"/>
      <c r="E14" s="71"/>
      <c r="F14" s="18">
        <v>2</v>
      </c>
      <c r="G14" s="19">
        <v>40</v>
      </c>
      <c r="H14" s="19">
        <f>F14*G14</f>
        <v>80</v>
      </c>
    </row>
    <row r="15" spans="1:10" ht="62.45" customHeight="1" x14ac:dyDescent="0.2">
      <c r="B15" s="127" t="s">
        <v>651</v>
      </c>
      <c r="C15" s="121" t="s">
        <v>584</v>
      </c>
      <c r="D15" s="71"/>
      <c r="E15" s="71" t="s">
        <v>612</v>
      </c>
      <c r="F15" s="81">
        <v>6</v>
      </c>
      <c r="G15" s="82">
        <f>10*1.5</f>
        <v>15</v>
      </c>
      <c r="H15" s="82">
        <f>F15*G15</f>
        <v>90</v>
      </c>
    </row>
    <row r="16" spans="1:10" ht="18" x14ac:dyDescent="0.25">
      <c r="A16" t="s">
        <v>809</v>
      </c>
      <c r="B16" s="64" t="s">
        <v>416</v>
      </c>
      <c r="C16" s="65"/>
      <c r="D16" s="73"/>
      <c r="E16" s="73"/>
      <c r="F16" s="65"/>
      <c r="G16" s="65"/>
      <c r="H16" s="28">
        <f>H17+H20+H22+H31</f>
        <v>395.85</v>
      </c>
    </row>
    <row r="17" spans="1:10" s="4" customFormat="1" x14ac:dyDescent="0.2">
      <c r="A17" s="4" t="s">
        <v>809</v>
      </c>
      <c r="B17" s="24"/>
      <c r="C17" s="34" t="s">
        <v>110</v>
      </c>
      <c r="D17" s="70"/>
      <c r="E17" s="70"/>
      <c r="F17" s="25"/>
      <c r="G17" s="26"/>
      <c r="H17" s="27">
        <f>SUM(H18:H19)</f>
        <v>49.85</v>
      </c>
    </row>
    <row r="18" spans="1:10" x14ac:dyDescent="0.2">
      <c r="B18" s="172" t="s">
        <v>652</v>
      </c>
      <c r="C18" s="199" t="s">
        <v>613</v>
      </c>
      <c r="D18" s="72"/>
      <c r="E18" s="72"/>
      <c r="F18" s="14">
        <v>1</v>
      </c>
      <c r="G18" s="15">
        <v>30</v>
      </c>
      <c r="H18" s="16">
        <f>F18*G18</f>
        <v>30</v>
      </c>
    </row>
    <row r="19" spans="1:10" x14ac:dyDescent="0.2">
      <c r="B19" s="127" t="s">
        <v>653</v>
      </c>
      <c r="C19" s="121" t="s">
        <v>417</v>
      </c>
      <c r="D19" s="71"/>
      <c r="E19" s="71"/>
      <c r="F19" s="18">
        <v>1</v>
      </c>
      <c r="G19" s="12">
        <v>19.850000000000001</v>
      </c>
      <c r="H19" s="19">
        <f>F19*G19</f>
        <v>19.850000000000001</v>
      </c>
    </row>
    <row r="20" spans="1:10" s="4" customFormat="1" x14ac:dyDescent="0.2">
      <c r="A20" s="4" t="s">
        <v>809</v>
      </c>
      <c r="B20" s="24"/>
      <c r="C20" s="34" t="s">
        <v>111</v>
      </c>
      <c r="D20" s="70"/>
      <c r="E20" s="70"/>
      <c r="F20" s="25"/>
      <c r="G20" s="26"/>
      <c r="H20" s="27">
        <f>SUM(H21)</f>
        <v>40</v>
      </c>
    </row>
    <row r="21" spans="1:10" x14ac:dyDescent="0.2">
      <c r="B21" s="127" t="s">
        <v>655</v>
      </c>
      <c r="C21" s="199" t="s">
        <v>419</v>
      </c>
      <c r="D21" s="72"/>
      <c r="E21" s="72"/>
      <c r="F21" s="14">
        <v>1</v>
      </c>
      <c r="G21" s="15">
        <f>20*2</f>
        <v>40</v>
      </c>
      <c r="H21" s="16">
        <f>F21*G21</f>
        <v>40</v>
      </c>
    </row>
    <row r="22" spans="1:10" s="4" customFormat="1" x14ac:dyDescent="0.2">
      <c r="A22" s="4" t="s">
        <v>809</v>
      </c>
      <c r="B22" s="24"/>
      <c r="C22" s="34" t="s">
        <v>112</v>
      </c>
      <c r="D22" s="70"/>
      <c r="E22" s="70"/>
      <c r="F22" s="25"/>
      <c r="G22" s="26"/>
      <c r="H22" s="27">
        <f>SUM(H23:H30)</f>
        <v>188</v>
      </c>
      <c r="J22"/>
    </row>
    <row r="23" spans="1:10" x14ac:dyDescent="0.2">
      <c r="B23" s="127" t="s">
        <v>654</v>
      </c>
      <c r="C23" s="199" t="s">
        <v>44</v>
      </c>
      <c r="D23" s="77">
        <v>1</v>
      </c>
      <c r="E23" s="77"/>
      <c r="F23" s="14">
        <v>1</v>
      </c>
      <c r="G23" s="15">
        <v>24</v>
      </c>
      <c r="H23" s="16">
        <f t="shared" ref="H23:H29" si="2">F23*G23</f>
        <v>24</v>
      </c>
    </row>
    <row r="24" spans="1:10" ht="25.5" x14ac:dyDescent="0.2">
      <c r="B24" s="127" t="s">
        <v>656</v>
      </c>
      <c r="C24" s="198" t="s">
        <v>830</v>
      </c>
      <c r="D24" s="202">
        <v>8</v>
      </c>
      <c r="E24" s="78"/>
      <c r="F24" s="18">
        <v>1</v>
      </c>
      <c r="G24" s="117">
        <f>8*8</f>
        <v>64</v>
      </c>
      <c r="H24" s="118">
        <f t="shared" si="2"/>
        <v>64</v>
      </c>
    </row>
    <row r="25" spans="1:10" x14ac:dyDescent="0.2">
      <c r="B25" s="127" t="s">
        <v>657</v>
      </c>
      <c r="C25" s="198" t="s">
        <v>829</v>
      </c>
      <c r="D25" s="197"/>
      <c r="E25" s="78"/>
      <c r="F25" s="18">
        <v>1</v>
      </c>
      <c r="G25" s="117">
        <v>10</v>
      </c>
      <c r="H25" s="118">
        <f t="shared" si="2"/>
        <v>10</v>
      </c>
    </row>
    <row r="26" spans="1:10" x14ac:dyDescent="0.2">
      <c r="B26" s="127" t="s">
        <v>658</v>
      </c>
      <c r="C26" s="121" t="s">
        <v>591</v>
      </c>
      <c r="D26" s="71"/>
      <c r="E26" s="71"/>
      <c r="F26" s="18">
        <v>1</v>
      </c>
      <c r="G26" s="12">
        <f>10*2</f>
        <v>20</v>
      </c>
      <c r="H26" s="19">
        <f>F26*G26</f>
        <v>20</v>
      </c>
    </row>
    <row r="27" spans="1:10" x14ac:dyDescent="0.2">
      <c r="B27" s="127" t="s">
        <v>659</v>
      </c>
      <c r="C27" s="121" t="s">
        <v>421</v>
      </c>
      <c r="D27" s="78">
        <v>1</v>
      </c>
      <c r="E27" s="78"/>
      <c r="F27" s="18">
        <v>1</v>
      </c>
      <c r="G27" s="12">
        <v>12</v>
      </c>
      <c r="H27" s="19">
        <f t="shared" si="2"/>
        <v>12</v>
      </c>
    </row>
    <row r="28" spans="1:10" ht="25.5" x14ac:dyDescent="0.2">
      <c r="B28" s="127" t="s">
        <v>660</v>
      </c>
      <c r="C28" s="121" t="s">
        <v>822</v>
      </c>
      <c r="D28" s="78">
        <v>1</v>
      </c>
      <c r="E28" s="78"/>
      <c r="F28" s="18">
        <v>1</v>
      </c>
      <c r="G28" s="12">
        <v>12</v>
      </c>
      <c r="H28" s="19">
        <f t="shared" si="2"/>
        <v>12</v>
      </c>
    </row>
    <row r="29" spans="1:10" x14ac:dyDescent="0.2">
      <c r="B29" s="127" t="s">
        <v>661</v>
      </c>
      <c r="C29" s="121" t="s">
        <v>828</v>
      </c>
      <c r="D29" s="78">
        <v>3</v>
      </c>
      <c r="E29" s="78"/>
      <c r="F29" s="18">
        <v>1</v>
      </c>
      <c r="G29" s="12">
        <f>3*8</f>
        <v>24</v>
      </c>
      <c r="H29" s="19">
        <f t="shared" si="2"/>
        <v>24</v>
      </c>
    </row>
    <row r="30" spans="1:10" ht="25.5" x14ac:dyDescent="0.2">
      <c r="B30" s="127" t="s">
        <v>662</v>
      </c>
      <c r="C30" s="200" t="s">
        <v>420</v>
      </c>
      <c r="D30" s="80">
        <v>2</v>
      </c>
      <c r="E30" s="80" t="s">
        <v>590</v>
      </c>
      <c r="F30" s="61">
        <v>1</v>
      </c>
      <c r="G30" s="63">
        <f>18+4</f>
        <v>22</v>
      </c>
      <c r="H30" s="62">
        <f>F30*G30</f>
        <v>22</v>
      </c>
    </row>
    <row r="31" spans="1:10" s="4" customFormat="1" x14ac:dyDescent="0.2">
      <c r="A31" s="4" t="s">
        <v>809</v>
      </c>
      <c r="B31" s="24"/>
      <c r="C31" s="34" t="s">
        <v>55</v>
      </c>
      <c r="D31" s="70"/>
      <c r="E31" s="70"/>
      <c r="F31" s="25"/>
      <c r="G31" s="26"/>
      <c r="H31" s="27">
        <f>SUM(H32:H36)</f>
        <v>118</v>
      </c>
      <c r="J31"/>
    </row>
    <row r="32" spans="1:10" x14ac:dyDescent="0.2">
      <c r="B32" s="127" t="s">
        <v>662</v>
      </c>
      <c r="C32" s="123" t="s">
        <v>585</v>
      </c>
      <c r="D32" s="79">
        <v>1</v>
      </c>
      <c r="E32" s="79"/>
      <c r="F32" s="18">
        <v>1</v>
      </c>
      <c r="G32" s="12">
        <v>18</v>
      </c>
      <c r="H32" s="19">
        <f>F32*G32</f>
        <v>18</v>
      </c>
    </row>
    <row r="33" spans="1:10" x14ac:dyDescent="0.2">
      <c r="B33" s="127" t="s">
        <v>663</v>
      </c>
      <c r="C33" s="123" t="s">
        <v>53</v>
      </c>
      <c r="D33" s="79">
        <v>1</v>
      </c>
      <c r="E33" s="79"/>
      <c r="F33" s="18">
        <v>1</v>
      </c>
      <c r="G33" s="12">
        <v>12</v>
      </c>
      <c r="H33" s="19">
        <f>F33*G33</f>
        <v>12</v>
      </c>
    </row>
    <row r="34" spans="1:10" x14ac:dyDescent="0.2">
      <c r="B34" s="127" t="s">
        <v>664</v>
      </c>
      <c r="C34" s="123" t="s">
        <v>823</v>
      </c>
      <c r="D34" s="79">
        <v>1</v>
      </c>
      <c r="E34" s="79"/>
      <c r="F34" s="18">
        <v>1</v>
      </c>
      <c r="G34" s="12">
        <v>12</v>
      </c>
      <c r="H34" s="19">
        <f>F34*G34</f>
        <v>12</v>
      </c>
    </row>
    <row r="35" spans="1:10" x14ac:dyDescent="0.2">
      <c r="B35" s="127" t="s">
        <v>665</v>
      </c>
      <c r="C35" s="201" t="s">
        <v>831</v>
      </c>
      <c r="D35" s="203">
        <v>8</v>
      </c>
      <c r="E35" s="79"/>
      <c r="F35" s="18">
        <v>1</v>
      </c>
      <c r="G35" s="117">
        <f>8*8</f>
        <v>64</v>
      </c>
      <c r="H35" s="118">
        <f>F35*G35</f>
        <v>64</v>
      </c>
    </row>
    <row r="36" spans="1:10" x14ac:dyDescent="0.2">
      <c r="B36" s="127" t="s">
        <v>666</v>
      </c>
      <c r="C36" s="123" t="s">
        <v>586</v>
      </c>
      <c r="D36" s="79"/>
      <c r="E36" s="79" t="s">
        <v>587</v>
      </c>
      <c r="F36" s="18">
        <v>1</v>
      </c>
      <c r="G36" s="12">
        <f>6*2</f>
        <v>12</v>
      </c>
      <c r="H36" s="19">
        <f>F36*G36</f>
        <v>12</v>
      </c>
    </row>
    <row r="37" spans="1:10" ht="18" x14ac:dyDescent="0.25">
      <c r="A37" t="s">
        <v>809</v>
      </c>
      <c r="B37" s="537" t="s">
        <v>609</v>
      </c>
      <c r="C37" s="538"/>
      <c r="D37" s="538"/>
      <c r="E37" s="538"/>
      <c r="F37" s="538"/>
      <c r="G37" s="538"/>
      <c r="H37" s="40">
        <f>H38+H50</f>
        <v>516</v>
      </c>
    </row>
    <row r="38" spans="1:10" s="4" customFormat="1" x14ac:dyDescent="0.2">
      <c r="A38" s="4" t="s">
        <v>809</v>
      </c>
      <c r="B38" s="24"/>
      <c r="C38" s="34" t="s">
        <v>112</v>
      </c>
      <c r="D38" s="70"/>
      <c r="E38" s="70"/>
      <c r="F38" s="25"/>
      <c r="G38" s="26"/>
      <c r="H38" s="27">
        <f>SUM(H39:H49)</f>
        <v>276</v>
      </c>
    </row>
    <row r="39" spans="1:10" x14ac:dyDescent="0.2">
      <c r="B39" s="127" t="s">
        <v>804</v>
      </c>
      <c r="C39" s="37" t="s">
        <v>595</v>
      </c>
      <c r="D39" s="122">
        <v>1</v>
      </c>
      <c r="E39" s="122" t="s">
        <v>599</v>
      </c>
      <c r="F39" s="18">
        <v>1</v>
      </c>
      <c r="G39" s="12">
        <v>12</v>
      </c>
      <c r="H39" s="19">
        <f t="shared" ref="H39:H41" si="3">F39*G39</f>
        <v>12</v>
      </c>
    </row>
    <row r="40" spans="1:10" x14ac:dyDescent="0.2">
      <c r="B40" s="127" t="s">
        <v>670</v>
      </c>
      <c r="C40" s="37" t="s">
        <v>596</v>
      </c>
      <c r="D40" s="122">
        <v>1</v>
      </c>
      <c r="E40" s="122" t="s">
        <v>599</v>
      </c>
      <c r="F40" s="18">
        <v>1</v>
      </c>
      <c r="G40" s="12">
        <v>12</v>
      </c>
      <c r="H40" s="19">
        <f t="shared" si="3"/>
        <v>12</v>
      </c>
    </row>
    <row r="41" spans="1:10" x14ac:dyDescent="0.2">
      <c r="B41" s="127" t="s">
        <v>667</v>
      </c>
      <c r="C41" s="37" t="s">
        <v>597</v>
      </c>
      <c r="D41" s="122">
        <v>1</v>
      </c>
      <c r="E41" s="122" t="s">
        <v>599</v>
      </c>
      <c r="F41" s="18">
        <v>1</v>
      </c>
      <c r="G41" s="12">
        <v>12</v>
      </c>
      <c r="H41" s="19">
        <f t="shared" si="3"/>
        <v>12</v>
      </c>
    </row>
    <row r="42" spans="1:10" x14ac:dyDescent="0.2">
      <c r="B42" s="127" t="s">
        <v>671</v>
      </c>
      <c r="C42" s="37" t="s">
        <v>604</v>
      </c>
      <c r="D42" s="122">
        <v>4</v>
      </c>
      <c r="E42" s="122" t="s">
        <v>598</v>
      </c>
      <c r="F42" s="18">
        <v>1</v>
      </c>
      <c r="G42" s="12">
        <f t="shared" ref="G42:G43" si="4">D42*8</f>
        <v>32</v>
      </c>
      <c r="H42" s="19">
        <f t="shared" ref="H42:H47" si="5">F42*G42</f>
        <v>32</v>
      </c>
    </row>
    <row r="43" spans="1:10" x14ac:dyDescent="0.2">
      <c r="B43" s="127" t="s">
        <v>672</v>
      </c>
      <c r="C43" s="37" t="s">
        <v>605</v>
      </c>
      <c r="D43" s="122">
        <v>8</v>
      </c>
      <c r="E43" s="122" t="s">
        <v>598</v>
      </c>
      <c r="F43" s="18">
        <v>1</v>
      </c>
      <c r="G43" s="12">
        <f t="shared" si="4"/>
        <v>64</v>
      </c>
      <c r="H43" s="19">
        <f t="shared" si="5"/>
        <v>64</v>
      </c>
    </row>
    <row r="44" spans="1:10" x14ac:dyDescent="0.2">
      <c r="B44" s="127" t="s">
        <v>673</v>
      </c>
      <c r="C44" s="37" t="s">
        <v>606</v>
      </c>
      <c r="D44" s="122">
        <v>4</v>
      </c>
      <c r="E44" s="122" t="s">
        <v>598</v>
      </c>
      <c r="F44" s="18">
        <v>1</v>
      </c>
      <c r="G44" s="12">
        <f>D44*8</f>
        <v>32</v>
      </c>
      <c r="H44" s="19">
        <f t="shared" si="5"/>
        <v>32</v>
      </c>
    </row>
    <row r="45" spans="1:10" x14ac:dyDescent="0.2">
      <c r="B45" s="127" t="s">
        <v>668</v>
      </c>
      <c r="C45" s="115" t="s">
        <v>600</v>
      </c>
      <c r="D45" s="205">
        <v>1</v>
      </c>
      <c r="E45" s="205" t="s">
        <v>603</v>
      </c>
      <c r="F45" s="116">
        <v>2</v>
      </c>
      <c r="G45" s="117">
        <v>12</v>
      </c>
      <c r="H45" s="118">
        <f t="shared" si="5"/>
        <v>24</v>
      </c>
      <c r="J45" s="206" t="s">
        <v>841</v>
      </c>
    </row>
    <row r="46" spans="1:10" x14ac:dyDescent="0.2">
      <c r="B46" s="127" t="s">
        <v>674</v>
      </c>
      <c r="C46" s="37" t="s">
        <v>601</v>
      </c>
      <c r="D46" s="122">
        <v>1</v>
      </c>
      <c r="E46" s="122" t="s">
        <v>603</v>
      </c>
      <c r="F46" s="18">
        <v>3</v>
      </c>
      <c r="G46" s="12">
        <v>12</v>
      </c>
      <c r="H46" s="19">
        <f t="shared" si="5"/>
        <v>36</v>
      </c>
    </row>
    <row r="47" spans="1:10" x14ac:dyDescent="0.2">
      <c r="B47" s="127" t="s">
        <v>82</v>
      </c>
      <c r="C47" s="37" t="s">
        <v>602</v>
      </c>
      <c r="D47" s="122">
        <v>1</v>
      </c>
      <c r="E47" s="122" t="s">
        <v>603</v>
      </c>
      <c r="F47" s="18">
        <v>1</v>
      </c>
      <c r="G47" s="12">
        <v>12</v>
      </c>
      <c r="H47" s="19">
        <f t="shared" si="5"/>
        <v>12</v>
      </c>
    </row>
    <row r="48" spans="1:10" x14ac:dyDescent="0.2">
      <c r="B48" s="127" t="s">
        <v>84</v>
      </c>
      <c r="C48" s="37" t="s">
        <v>832</v>
      </c>
      <c r="D48" s="122">
        <v>1</v>
      </c>
      <c r="E48" s="122"/>
      <c r="F48" s="18">
        <v>1</v>
      </c>
      <c r="G48" s="12">
        <f>10*2</f>
        <v>20</v>
      </c>
      <c r="H48" s="19">
        <f t="shared" ref="H48:H49" si="6">F48*G48</f>
        <v>20</v>
      </c>
    </row>
    <row r="49" spans="1:11" x14ac:dyDescent="0.2">
      <c r="B49" s="127" t="s">
        <v>86</v>
      </c>
      <c r="C49" s="37" t="s">
        <v>833</v>
      </c>
      <c r="D49" s="122">
        <v>1</v>
      </c>
      <c r="E49" s="122"/>
      <c r="F49" s="18">
        <v>1</v>
      </c>
      <c r="G49" s="12">
        <f>10*2</f>
        <v>20</v>
      </c>
      <c r="H49" s="19">
        <f t="shared" si="6"/>
        <v>20</v>
      </c>
    </row>
    <row r="50" spans="1:11" s="4" customFormat="1" x14ac:dyDescent="0.2">
      <c r="A50" s="4" t="s">
        <v>809</v>
      </c>
      <c r="B50" s="24"/>
      <c r="C50" s="34" t="s">
        <v>114</v>
      </c>
      <c r="D50" s="70"/>
      <c r="E50" s="70"/>
      <c r="F50" s="25"/>
      <c r="G50" s="26"/>
      <c r="H50" s="27">
        <f>SUM(H51:H51)</f>
        <v>240</v>
      </c>
    </row>
    <row r="51" spans="1:11" ht="64.5" thickBot="1" x14ac:dyDescent="0.25">
      <c r="B51" s="127" t="s">
        <v>84</v>
      </c>
      <c r="C51" s="123" t="s">
        <v>423</v>
      </c>
      <c r="D51" s="74"/>
      <c r="E51" s="108" t="s">
        <v>607</v>
      </c>
      <c r="F51" s="154">
        <v>4</v>
      </c>
      <c r="G51" s="63">
        <f>3*20</f>
        <v>60</v>
      </c>
      <c r="H51" s="82">
        <f>F51*G51</f>
        <v>240</v>
      </c>
    </row>
    <row r="52" spans="1:11" ht="18" x14ac:dyDescent="0.25">
      <c r="A52" t="s">
        <v>809</v>
      </c>
      <c r="B52" s="85" t="s">
        <v>115</v>
      </c>
      <c r="C52" s="86"/>
      <c r="D52" s="86"/>
      <c r="E52" s="86"/>
      <c r="F52" s="156">
        <f>SUM(F54:F60)</f>
        <v>53</v>
      </c>
      <c r="G52" s="86"/>
      <c r="H52" s="59">
        <f>H53+H58+H63+H66</f>
        <v>4020</v>
      </c>
    </row>
    <row r="53" spans="1:11" s="4" customFormat="1" x14ac:dyDescent="0.2">
      <c r="A53" s="4" t="s">
        <v>809</v>
      </c>
      <c r="B53" s="24"/>
      <c r="C53" s="34" t="s">
        <v>150</v>
      </c>
      <c r="D53" s="70"/>
      <c r="E53" s="70"/>
      <c r="F53" s="157"/>
      <c r="G53" s="26"/>
      <c r="H53" s="27">
        <f>SUM(H54:H57)</f>
        <v>2740</v>
      </c>
    </row>
    <row r="54" spans="1:11" ht="63.75" x14ac:dyDescent="0.2">
      <c r="B54" s="127" t="s">
        <v>116</v>
      </c>
      <c r="C54" s="123" t="s">
        <v>424</v>
      </c>
      <c r="D54" s="74"/>
      <c r="E54" s="151" t="s">
        <v>628</v>
      </c>
      <c r="F54" s="158">
        <v>27</v>
      </c>
      <c r="G54" s="152">
        <f>2.2*30</f>
        <v>66</v>
      </c>
      <c r="H54" s="19">
        <f>F54*G54</f>
        <v>1782</v>
      </c>
      <c r="J54" s="119"/>
    </row>
    <row r="55" spans="1:11" ht="38.25" x14ac:dyDescent="0.2">
      <c r="B55" s="127" t="s">
        <v>425</v>
      </c>
      <c r="C55" s="115" t="s">
        <v>836</v>
      </c>
      <c r="D55" s="74"/>
      <c r="E55" s="151" t="s">
        <v>614</v>
      </c>
      <c r="F55" s="158">
        <v>14</v>
      </c>
      <c r="G55" s="152">
        <f>2.2*30</f>
        <v>66</v>
      </c>
      <c r="H55" s="19">
        <f t="shared" ref="H55:H67" si="7">F55*G55</f>
        <v>924</v>
      </c>
      <c r="J55" t="s">
        <v>574</v>
      </c>
      <c r="K55" s="33"/>
    </row>
    <row r="56" spans="1:11" x14ac:dyDescent="0.2">
      <c r="B56" s="204" t="s">
        <v>118</v>
      </c>
      <c r="C56" s="37" t="s">
        <v>862</v>
      </c>
      <c r="D56" s="74"/>
      <c r="E56" s="151"/>
      <c r="F56" s="215">
        <v>3</v>
      </c>
      <c r="G56" s="216">
        <v>8</v>
      </c>
      <c r="H56" s="82">
        <f t="shared" si="7"/>
        <v>24</v>
      </c>
      <c r="K56" s="33"/>
    </row>
    <row r="57" spans="1:11" ht="25.5" x14ac:dyDescent="0.2">
      <c r="B57" s="204" t="s">
        <v>118</v>
      </c>
      <c r="C57" s="115" t="s">
        <v>837</v>
      </c>
      <c r="D57" s="74"/>
      <c r="E57" s="151"/>
      <c r="F57" s="207">
        <v>1</v>
      </c>
      <c r="G57" s="152">
        <v>10</v>
      </c>
      <c r="H57" s="19">
        <f t="shared" si="7"/>
        <v>10</v>
      </c>
      <c r="K57" s="33"/>
    </row>
    <row r="58" spans="1:11" s="4" customFormat="1" x14ac:dyDescent="0.2">
      <c r="A58" s="4" t="s">
        <v>809</v>
      </c>
      <c r="B58" s="24"/>
      <c r="C58" s="34" t="s">
        <v>426</v>
      </c>
      <c r="D58" s="70"/>
      <c r="E58" s="70"/>
      <c r="F58" s="157"/>
      <c r="G58" s="26"/>
      <c r="H58" s="27">
        <f>SUM(H59:H62)</f>
        <v>790</v>
      </c>
    </row>
    <row r="59" spans="1:11" x14ac:dyDescent="0.2">
      <c r="B59" s="127" t="s">
        <v>118</v>
      </c>
      <c r="C59" s="37" t="s">
        <v>583</v>
      </c>
      <c r="D59" s="74"/>
      <c r="E59" s="151" t="s">
        <v>571</v>
      </c>
      <c r="F59" s="158">
        <v>6</v>
      </c>
      <c r="G59" s="153">
        <f>30*3</f>
        <v>90</v>
      </c>
      <c r="H59" s="19">
        <f t="shared" si="7"/>
        <v>540</v>
      </c>
      <c r="J59" t="s">
        <v>575</v>
      </c>
    </row>
    <row r="60" spans="1:11" ht="13.5" thickBot="1" x14ac:dyDescent="0.25">
      <c r="B60" s="127" t="s">
        <v>119</v>
      </c>
      <c r="C60" s="37" t="s">
        <v>434</v>
      </c>
      <c r="D60" s="74"/>
      <c r="E60" s="151" t="s">
        <v>572</v>
      </c>
      <c r="F60" s="159">
        <v>2</v>
      </c>
      <c r="G60" s="152">
        <f>15*4</f>
        <v>60</v>
      </c>
      <c r="H60" s="19">
        <f t="shared" ref="H60" si="8">F60*G60</f>
        <v>120</v>
      </c>
      <c r="J60" t="s">
        <v>575</v>
      </c>
    </row>
    <row r="61" spans="1:11" ht="51" x14ac:dyDescent="0.2">
      <c r="B61" s="127" t="s">
        <v>120</v>
      </c>
      <c r="C61" s="37" t="s">
        <v>646</v>
      </c>
      <c r="D61" s="84"/>
      <c r="E61" s="74" t="s">
        <v>645</v>
      </c>
      <c r="F61" s="155">
        <v>1</v>
      </c>
      <c r="G61" s="125">
        <f>110*1</f>
        <v>110</v>
      </c>
      <c r="H61" s="126">
        <f>F61*G61</f>
        <v>110</v>
      </c>
      <c r="J61" t="s">
        <v>576</v>
      </c>
    </row>
    <row r="62" spans="1:11" x14ac:dyDescent="0.2">
      <c r="B62" s="127" t="s">
        <v>121</v>
      </c>
      <c r="C62" s="37" t="s">
        <v>610</v>
      </c>
      <c r="D62" s="84"/>
      <c r="E62" s="74" t="s">
        <v>611</v>
      </c>
      <c r="F62" s="124">
        <v>1</v>
      </c>
      <c r="G62" s="125">
        <v>20</v>
      </c>
      <c r="H62" s="126">
        <f>F62*G62</f>
        <v>20</v>
      </c>
    </row>
    <row r="63" spans="1:11" s="4" customFormat="1" x14ac:dyDescent="0.2">
      <c r="A63" s="4" t="s">
        <v>809</v>
      </c>
      <c r="B63" s="24"/>
      <c r="C63" s="34" t="s">
        <v>180</v>
      </c>
      <c r="D63" s="70"/>
      <c r="E63" s="70"/>
      <c r="F63" s="25"/>
      <c r="G63" s="26"/>
      <c r="H63" s="27">
        <f>SUM(H64:H65)</f>
        <v>240</v>
      </c>
    </row>
    <row r="64" spans="1:11" x14ac:dyDescent="0.2">
      <c r="B64" s="127" t="s">
        <v>122</v>
      </c>
      <c r="C64" s="37" t="s">
        <v>428</v>
      </c>
      <c r="D64" s="74"/>
      <c r="E64" s="74"/>
      <c r="F64" s="124">
        <v>12</v>
      </c>
      <c r="G64" s="126">
        <v>12</v>
      </c>
      <c r="H64" s="126">
        <f t="shared" si="7"/>
        <v>144</v>
      </c>
    </row>
    <row r="65" spans="1:11" ht="25.5" x14ac:dyDescent="0.2">
      <c r="B65" s="127" t="s">
        <v>675</v>
      </c>
      <c r="C65" s="123" t="s">
        <v>838</v>
      </c>
      <c r="D65" s="84"/>
      <c r="E65" s="74"/>
      <c r="F65" s="128">
        <v>8</v>
      </c>
      <c r="G65" s="129">
        <v>12</v>
      </c>
      <c r="H65" s="129">
        <f t="shared" ref="H65" si="9">F65*G65</f>
        <v>96</v>
      </c>
    </row>
    <row r="66" spans="1:11" s="4" customFormat="1" x14ac:dyDescent="0.2">
      <c r="A66" s="4" t="s">
        <v>809</v>
      </c>
      <c r="B66" s="24"/>
      <c r="C66" s="34" t="s">
        <v>427</v>
      </c>
      <c r="D66" s="70"/>
      <c r="E66" s="130"/>
      <c r="F66" s="131"/>
      <c r="G66" s="132"/>
      <c r="H66" s="133">
        <f>SUM(H67)</f>
        <v>250</v>
      </c>
    </row>
    <row r="67" spans="1:11" ht="25.5" x14ac:dyDescent="0.2">
      <c r="B67" s="127" t="s">
        <v>123</v>
      </c>
      <c r="C67" s="37" t="s">
        <v>429</v>
      </c>
      <c r="D67" s="84"/>
      <c r="E67" s="74" t="s">
        <v>573</v>
      </c>
      <c r="F67" s="124">
        <v>1</v>
      </c>
      <c r="G67" s="125">
        <f>250*1</f>
        <v>250</v>
      </c>
      <c r="H67" s="126">
        <f t="shared" si="7"/>
        <v>250</v>
      </c>
      <c r="J67" t="s">
        <v>577</v>
      </c>
    </row>
    <row r="68" spans="1:11" ht="18" x14ac:dyDescent="0.25">
      <c r="A68" t="s">
        <v>809</v>
      </c>
      <c r="B68" s="544" t="s">
        <v>530</v>
      </c>
      <c r="C68" s="545"/>
      <c r="D68" s="545"/>
      <c r="E68" s="545"/>
      <c r="F68" s="545"/>
      <c r="G68" s="545"/>
      <c r="H68" s="58">
        <f>H69+H88+H140</f>
        <v>2314</v>
      </c>
    </row>
    <row r="69" spans="1:11" s="4" customFormat="1" ht="22.35" customHeight="1" x14ac:dyDescent="0.2">
      <c r="A69" s="4" t="s">
        <v>809</v>
      </c>
      <c r="B69" s="98"/>
      <c r="C69" s="105" t="s">
        <v>531</v>
      </c>
      <c r="D69" s="100"/>
      <c r="E69" s="100"/>
      <c r="F69" s="101"/>
      <c r="G69" s="102"/>
      <c r="H69" s="103">
        <f>H70+H82</f>
        <v>777</v>
      </c>
      <c r="K69" s="4">
        <f>H69*1.3</f>
        <v>1010.1</v>
      </c>
    </row>
    <row r="70" spans="1:11" s="4" customFormat="1" x14ac:dyDescent="0.2">
      <c r="A70" s="4" t="s">
        <v>809</v>
      </c>
      <c r="B70" s="24"/>
      <c r="C70" s="34" t="s">
        <v>388</v>
      </c>
      <c r="D70" s="70"/>
      <c r="E70" s="70"/>
      <c r="F70" s="25"/>
      <c r="G70" s="26"/>
      <c r="H70" s="27">
        <f>SUM(H71:H81)</f>
        <v>537</v>
      </c>
    </row>
    <row r="71" spans="1:11" ht="25.5" x14ac:dyDescent="0.2">
      <c r="B71" s="127" t="s">
        <v>676</v>
      </c>
      <c r="C71" s="37" t="s">
        <v>435</v>
      </c>
      <c r="D71" s="74"/>
      <c r="E71" s="74"/>
      <c r="F71" s="81">
        <v>2</v>
      </c>
      <c r="G71" s="63">
        <f>15*2.5</f>
        <v>37.5</v>
      </c>
      <c r="H71" s="82">
        <f>F71*G71</f>
        <v>75</v>
      </c>
      <c r="J71" t="s">
        <v>578</v>
      </c>
    </row>
    <row r="72" spans="1:11" ht="25.5" x14ac:dyDescent="0.2">
      <c r="B72" s="127" t="s">
        <v>677</v>
      </c>
      <c r="C72" s="37" t="s">
        <v>550</v>
      </c>
      <c r="D72" s="74"/>
      <c r="E72" s="74"/>
      <c r="F72" s="18">
        <v>2</v>
      </c>
      <c r="G72" s="12">
        <v>35</v>
      </c>
      <c r="H72" s="19">
        <f t="shared" ref="H72:H81" si="10">F72*G72</f>
        <v>70</v>
      </c>
    </row>
    <row r="73" spans="1:11" x14ac:dyDescent="0.2">
      <c r="B73" s="127" t="s">
        <v>678</v>
      </c>
      <c r="C73" s="37" t="s">
        <v>546</v>
      </c>
      <c r="D73" s="74"/>
      <c r="E73" s="74" t="s">
        <v>551</v>
      </c>
      <c r="F73" s="18">
        <v>1</v>
      </c>
      <c r="G73" s="12">
        <v>100</v>
      </c>
      <c r="H73" s="19">
        <f t="shared" si="10"/>
        <v>100</v>
      </c>
    </row>
    <row r="74" spans="1:11" x14ac:dyDescent="0.2">
      <c r="B74" s="127" t="s">
        <v>679</v>
      </c>
      <c r="C74" s="37" t="s">
        <v>843</v>
      </c>
      <c r="D74" s="74"/>
      <c r="E74" s="74"/>
      <c r="F74" s="18">
        <v>1</v>
      </c>
      <c r="G74" s="12">
        <v>30</v>
      </c>
      <c r="H74" s="19">
        <f t="shared" si="10"/>
        <v>30</v>
      </c>
    </row>
    <row r="75" spans="1:11" x14ac:dyDescent="0.2">
      <c r="B75" s="127" t="s">
        <v>680</v>
      </c>
      <c r="C75" s="37" t="s">
        <v>547</v>
      </c>
      <c r="D75" s="74"/>
      <c r="E75" s="74"/>
      <c r="F75" s="18">
        <v>1</v>
      </c>
      <c r="G75" s="12">
        <v>25</v>
      </c>
      <c r="H75" s="19">
        <f t="shared" si="10"/>
        <v>25</v>
      </c>
    </row>
    <row r="76" spans="1:11" x14ac:dyDescent="0.2">
      <c r="B76" s="127" t="s">
        <v>681</v>
      </c>
      <c r="C76" s="37" t="s">
        <v>548</v>
      </c>
      <c r="D76" s="74"/>
      <c r="E76" s="74" t="s">
        <v>552</v>
      </c>
      <c r="F76" s="18">
        <v>1</v>
      </c>
      <c r="G76" s="12">
        <v>100</v>
      </c>
      <c r="H76" s="19">
        <f t="shared" si="10"/>
        <v>100</v>
      </c>
    </row>
    <row r="77" spans="1:11" x14ac:dyDescent="0.2">
      <c r="B77" s="127" t="s">
        <v>682</v>
      </c>
      <c r="C77" s="37" t="s">
        <v>844</v>
      </c>
      <c r="D77" s="74"/>
      <c r="E77" s="74"/>
      <c r="F77" s="18">
        <v>1</v>
      </c>
      <c r="G77" s="12">
        <v>30</v>
      </c>
      <c r="H77" s="19">
        <f t="shared" si="10"/>
        <v>30</v>
      </c>
    </row>
    <row r="78" spans="1:11" x14ac:dyDescent="0.2">
      <c r="B78" s="127" t="s">
        <v>683</v>
      </c>
      <c r="C78" s="37" t="s">
        <v>845</v>
      </c>
      <c r="D78" s="74"/>
      <c r="E78" s="74"/>
      <c r="F78" s="18">
        <v>1</v>
      </c>
      <c r="G78" s="12">
        <v>15</v>
      </c>
      <c r="H78" s="19">
        <f t="shared" si="10"/>
        <v>15</v>
      </c>
    </row>
    <row r="79" spans="1:11" x14ac:dyDescent="0.2">
      <c r="B79" s="127" t="s">
        <v>684</v>
      </c>
      <c r="C79" s="37" t="s">
        <v>846</v>
      </c>
      <c r="D79" s="74"/>
      <c r="E79" s="74"/>
      <c r="F79" s="18">
        <v>2</v>
      </c>
      <c r="G79" s="12">
        <v>10</v>
      </c>
      <c r="H79" s="19">
        <f t="shared" si="10"/>
        <v>20</v>
      </c>
    </row>
    <row r="80" spans="1:11" x14ac:dyDescent="0.2">
      <c r="B80" s="127" t="s">
        <v>685</v>
      </c>
      <c r="C80" s="37" t="s">
        <v>553</v>
      </c>
      <c r="D80" s="74"/>
      <c r="E80" s="74" t="s">
        <v>554</v>
      </c>
      <c r="F80" s="18">
        <v>1</v>
      </c>
      <c r="G80" s="12">
        <v>12</v>
      </c>
      <c r="H80" s="19">
        <f t="shared" si="10"/>
        <v>12</v>
      </c>
    </row>
    <row r="81" spans="1:11" x14ac:dyDescent="0.2">
      <c r="B81" s="127" t="s">
        <v>686</v>
      </c>
      <c r="C81" s="37" t="s">
        <v>549</v>
      </c>
      <c r="D81" s="74"/>
      <c r="E81" s="74"/>
      <c r="F81" s="18">
        <v>1</v>
      </c>
      <c r="G81" s="12">
        <v>60</v>
      </c>
      <c r="H81" s="19">
        <f t="shared" si="10"/>
        <v>60</v>
      </c>
    </row>
    <row r="82" spans="1:11" s="4" customFormat="1" x14ac:dyDescent="0.2">
      <c r="A82" s="4" t="s">
        <v>809</v>
      </c>
      <c r="B82" s="24"/>
      <c r="C82" s="34" t="s">
        <v>436</v>
      </c>
      <c r="D82" s="70"/>
      <c r="E82" s="70"/>
      <c r="F82" s="25"/>
      <c r="G82" s="26"/>
      <c r="H82" s="27">
        <f>SUM(H83:H87)</f>
        <v>240</v>
      </c>
    </row>
    <row r="83" spans="1:11" ht="25.5" x14ac:dyDescent="0.2">
      <c r="B83" s="127" t="s">
        <v>683</v>
      </c>
      <c r="C83" s="37" t="s">
        <v>437</v>
      </c>
      <c r="D83" s="74"/>
      <c r="E83" s="74"/>
      <c r="F83" s="81">
        <v>1</v>
      </c>
      <c r="G83" s="63">
        <v>50</v>
      </c>
      <c r="H83" s="82">
        <f>F83*G83</f>
        <v>50</v>
      </c>
    </row>
    <row r="84" spans="1:11" x14ac:dyDescent="0.2">
      <c r="B84" s="127" t="s">
        <v>684</v>
      </c>
      <c r="C84" s="37" t="s">
        <v>438</v>
      </c>
      <c r="D84" s="74"/>
      <c r="E84" s="74"/>
      <c r="F84" s="18">
        <v>1</v>
      </c>
      <c r="G84" s="12">
        <v>50</v>
      </c>
      <c r="H84" s="19">
        <f>F84*G84</f>
        <v>50</v>
      </c>
    </row>
    <row r="85" spans="1:11" x14ac:dyDescent="0.2">
      <c r="B85" s="127" t="s">
        <v>685</v>
      </c>
      <c r="C85" s="37" t="s">
        <v>439</v>
      </c>
      <c r="D85" s="74"/>
      <c r="E85" s="74"/>
      <c r="F85" s="18">
        <v>1</v>
      </c>
      <c r="G85" s="12">
        <f>20*4</f>
        <v>80</v>
      </c>
      <c r="H85" s="19">
        <f>F85*G85</f>
        <v>80</v>
      </c>
    </row>
    <row r="86" spans="1:11" x14ac:dyDescent="0.2">
      <c r="B86" s="127" t="s">
        <v>686</v>
      </c>
      <c r="C86" s="37" t="s">
        <v>441</v>
      </c>
      <c r="D86" s="74"/>
      <c r="E86" s="74"/>
      <c r="F86" s="18">
        <v>1</v>
      </c>
      <c r="G86" s="12">
        <v>30</v>
      </c>
      <c r="H86" s="19">
        <f>F86*G86</f>
        <v>30</v>
      </c>
    </row>
    <row r="87" spans="1:11" x14ac:dyDescent="0.2">
      <c r="B87" s="127" t="s">
        <v>687</v>
      </c>
      <c r="C87" s="37" t="s">
        <v>440</v>
      </c>
      <c r="D87" s="74"/>
      <c r="E87" s="74"/>
      <c r="F87" s="18">
        <v>1</v>
      </c>
      <c r="G87" s="12">
        <v>30</v>
      </c>
      <c r="H87" s="19">
        <f>F87*G87</f>
        <v>30</v>
      </c>
    </row>
    <row r="88" spans="1:11" s="4" customFormat="1" ht="22.35" customHeight="1" x14ac:dyDescent="0.2">
      <c r="A88" s="4" t="s">
        <v>809</v>
      </c>
      <c r="B88" s="98"/>
      <c r="C88" s="99" t="s">
        <v>532</v>
      </c>
      <c r="D88" s="100"/>
      <c r="E88" s="100"/>
      <c r="F88" s="101"/>
      <c r="G88" s="102"/>
      <c r="H88" s="103">
        <f>H89+H104+H138</f>
        <v>1414</v>
      </c>
      <c r="K88" s="4">
        <f>H88*1.3</f>
        <v>1838.2</v>
      </c>
    </row>
    <row r="89" spans="1:11" s="4" customFormat="1" x14ac:dyDescent="0.2">
      <c r="A89" s="4" t="s">
        <v>809</v>
      </c>
      <c r="B89" s="24"/>
      <c r="C89" s="34" t="s">
        <v>805</v>
      </c>
      <c r="D89" s="70"/>
      <c r="E89" s="70"/>
      <c r="F89" s="25"/>
      <c r="G89" s="26"/>
      <c r="H89" s="27">
        <f>SUM(H90:H103)</f>
        <v>354</v>
      </c>
      <c r="K89" s="4">
        <f>H89*1.3</f>
        <v>460.2</v>
      </c>
    </row>
    <row r="90" spans="1:11" x14ac:dyDescent="0.2">
      <c r="B90" s="127" t="s">
        <v>688</v>
      </c>
      <c r="C90" s="37" t="s">
        <v>480</v>
      </c>
      <c r="D90" s="74"/>
      <c r="E90" s="37" t="s">
        <v>581</v>
      </c>
      <c r="F90" s="18">
        <v>1</v>
      </c>
      <c r="G90" s="19">
        <v>50</v>
      </c>
      <c r="H90" s="19">
        <f t="shared" ref="H90:H136" si="11">F90*G90</f>
        <v>50</v>
      </c>
    </row>
    <row r="91" spans="1:11" x14ac:dyDescent="0.2">
      <c r="B91" s="127" t="s">
        <v>689</v>
      </c>
      <c r="C91" s="37" t="s">
        <v>481</v>
      </c>
      <c r="D91" s="74"/>
      <c r="E91" s="37"/>
      <c r="F91" s="18">
        <v>1</v>
      </c>
      <c r="G91" s="19">
        <v>50</v>
      </c>
      <c r="H91" s="19">
        <f t="shared" si="11"/>
        <v>50</v>
      </c>
    </row>
    <row r="92" spans="1:11" x14ac:dyDescent="0.2">
      <c r="B92" s="127" t="s">
        <v>690</v>
      </c>
      <c r="C92" s="37" t="s">
        <v>482</v>
      </c>
      <c r="D92" s="74"/>
      <c r="E92" s="37"/>
      <c r="F92" s="18">
        <v>1</v>
      </c>
      <c r="G92" s="19">
        <v>10</v>
      </c>
      <c r="H92" s="19">
        <f t="shared" si="11"/>
        <v>10</v>
      </c>
    </row>
    <row r="93" spans="1:11" x14ac:dyDescent="0.2">
      <c r="B93" s="127" t="s">
        <v>691</v>
      </c>
      <c r="C93" s="37" t="s">
        <v>483</v>
      </c>
      <c r="D93" s="74"/>
      <c r="E93" s="37"/>
      <c r="F93" s="18">
        <v>1</v>
      </c>
      <c r="G93" s="19">
        <v>15</v>
      </c>
      <c r="H93" s="19">
        <f t="shared" si="11"/>
        <v>15</v>
      </c>
    </row>
    <row r="94" spans="1:11" x14ac:dyDescent="0.2">
      <c r="B94" s="127" t="s">
        <v>692</v>
      </c>
      <c r="C94" s="37" t="s">
        <v>484</v>
      </c>
      <c r="D94" s="74"/>
      <c r="E94" s="37"/>
      <c r="F94" s="18">
        <v>1</v>
      </c>
      <c r="G94" s="19">
        <v>5</v>
      </c>
      <c r="H94" s="19">
        <f t="shared" si="11"/>
        <v>5</v>
      </c>
    </row>
    <row r="95" spans="1:11" x14ac:dyDescent="0.2">
      <c r="B95" s="127" t="s">
        <v>693</v>
      </c>
      <c r="C95" s="37" t="s">
        <v>485</v>
      </c>
      <c r="D95" s="74"/>
      <c r="E95" s="37" t="s">
        <v>492</v>
      </c>
      <c r="F95" s="18">
        <v>1</v>
      </c>
      <c r="G95" s="19">
        <v>10</v>
      </c>
      <c r="H95" s="19">
        <f t="shared" si="11"/>
        <v>10</v>
      </c>
    </row>
    <row r="96" spans="1:11" x14ac:dyDescent="0.2">
      <c r="B96" s="127" t="s">
        <v>694</v>
      </c>
      <c r="C96" s="37" t="s">
        <v>486</v>
      </c>
      <c r="D96" s="74"/>
      <c r="E96" s="37" t="s">
        <v>629</v>
      </c>
      <c r="F96" s="18">
        <v>1</v>
      </c>
      <c r="G96" s="126">
        <f>50*1.4</f>
        <v>70</v>
      </c>
      <c r="H96" s="19">
        <f t="shared" si="11"/>
        <v>70</v>
      </c>
      <c r="J96" t="s">
        <v>582</v>
      </c>
    </row>
    <row r="97" spans="1:11" ht="25.5" x14ac:dyDescent="0.2">
      <c r="B97" s="127" t="s">
        <v>695</v>
      </c>
      <c r="C97" s="37" t="s">
        <v>487</v>
      </c>
      <c r="D97" s="74"/>
      <c r="E97" s="37" t="s">
        <v>630</v>
      </c>
      <c r="F97" s="18">
        <v>1</v>
      </c>
      <c r="G97" s="126">
        <v>70</v>
      </c>
      <c r="H97" s="19">
        <f t="shared" si="11"/>
        <v>70</v>
      </c>
    </row>
    <row r="98" spans="1:11" x14ac:dyDescent="0.2">
      <c r="B98" s="127" t="s">
        <v>696</v>
      </c>
      <c r="C98" s="37" t="s">
        <v>488</v>
      </c>
      <c r="D98" s="74"/>
      <c r="E98" s="37"/>
      <c r="F98" s="18">
        <v>1</v>
      </c>
      <c r="G98" s="19">
        <v>40</v>
      </c>
      <c r="H98" s="19">
        <f t="shared" si="11"/>
        <v>40</v>
      </c>
    </row>
    <row r="99" spans="1:11" x14ac:dyDescent="0.2">
      <c r="B99" s="127" t="s">
        <v>697</v>
      </c>
      <c r="C99" s="37" t="s">
        <v>239</v>
      </c>
      <c r="D99" s="74"/>
      <c r="E99" s="37"/>
      <c r="F99" s="18">
        <v>1</v>
      </c>
      <c r="G99" s="19">
        <v>4</v>
      </c>
      <c r="H99" s="19">
        <f t="shared" si="11"/>
        <v>4</v>
      </c>
    </row>
    <row r="100" spans="1:11" x14ac:dyDescent="0.2">
      <c r="B100" s="127" t="s">
        <v>698</v>
      </c>
      <c r="C100" s="37" t="s">
        <v>489</v>
      </c>
      <c r="D100" s="74"/>
      <c r="E100" s="37" t="s">
        <v>450</v>
      </c>
      <c r="F100" s="18">
        <v>1</v>
      </c>
      <c r="G100" s="19" t="s">
        <v>454</v>
      </c>
      <c r="H100" s="19" t="s">
        <v>454</v>
      </c>
    </row>
    <row r="101" spans="1:11" x14ac:dyDescent="0.2">
      <c r="B101" s="127" t="s">
        <v>699</v>
      </c>
      <c r="C101" s="37" t="s">
        <v>702</v>
      </c>
      <c r="D101" s="74"/>
      <c r="E101" s="37"/>
      <c r="F101" s="18">
        <v>1</v>
      </c>
      <c r="G101" s="19" t="s">
        <v>454</v>
      </c>
      <c r="H101" s="19" t="s">
        <v>454</v>
      </c>
    </row>
    <row r="102" spans="1:11" x14ac:dyDescent="0.2">
      <c r="B102" s="127" t="s">
        <v>700</v>
      </c>
      <c r="C102" s="37" t="s">
        <v>490</v>
      </c>
      <c r="D102" s="74"/>
      <c r="E102" s="37" t="s">
        <v>493</v>
      </c>
      <c r="F102" s="18">
        <v>1</v>
      </c>
      <c r="G102" s="19">
        <v>30</v>
      </c>
      <c r="H102" s="19">
        <f t="shared" si="11"/>
        <v>30</v>
      </c>
    </row>
    <row r="103" spans="1:11" x14ac:dyDescent="0.2">
      <c r="B103" s="127" t="s">
        <v>700</v>
      </c>
      <c r="C103" s="37" t="s">
        <v>491</v>
      </c>
      <c r="D103" s="74"/>
      <c r="E103" s="37" t="s">
        <v>494</v>
      </c>
      <c r="F103" s="18">
        <v>1</v>
      </c>
      <c r="G103" s="19">
        <v>0</v>
      </c>
      <c r="H103" s="19">
        <f t="shared" si="11"/>
        <v>0</v>
      </c>
    </row>
    <row r="104" spans="1:11" s="4" customFormat="1" x14ac:dyDescent="0.2">
      <c r="A104" s="4" t="s">
        <v>809</v>
      </c>
      <c r="B104" s="24"/>
      <c r="C104" s="34" t="s">
        <v>495</v>
      </c>
      <c r="D104" s="70"/>
      <c r="E104" s="34"/>
      <c r="F104" s="25"/>
      <c r="G104" s="26"/>
      <c r="H104" s="27">
        <f>SUM(H105:H137)</f>
        <v>920</v>
      </c>
      <c r="K104" s="4">
        <f>H104*1.3</f>
        <v>1196</v>
      </c>
    </row>
    <row r="105" spans="1:11" ht="25.5" x14ac:dyDescent="0.2">
      <c r="B105" s="123" t="s">
        <v>701</v>
      </c>
      <c r="C105" s="37" t="s">
        <v>496</v>
      </c>
      <c r="D105" s="74"/>
      <c r="E105" s="150" t="s">
        <v>627</v>
      </c>
      <c r="F105" s="18">
        <v>1</v>
      </c>
      <c r="G105" s="19">
        <v>40</v>
      </c>
      <c r="H105" s="19">
        <f t="shared" si="11"/>
        <v>40</v>
      </c>
      <c r="J105" s="4"/>
    </row>
    <row r="106" spans="1:11" x14ac:dyDescent="0.2">
      <c r="B106" s="123" t="s">
        <v>703</v>
      </c>
      <c r="C106" s="37" t="s">
        <v>497</v>
      </c>
      <c r="D106" s="74"/>
      <c r="E106" s="104"/>
      <c r="F106" s="18">
        <v>1</v>
      </c>
      <c r="G106" s="19">
        <v>15</v>
      </c>
      <c r="H106" s="19">
        <f t="shared" si="11"/>
        <v>15</v>
      </c>
    </row>
    <row r="107" spans="1:11" x14ac:dyDescent="0.2">
      <c r="B107" s="123" t="s">
        <v>704</v>
      </c>
      <c r="C107" s="37" t="s">
        <v>498</v>
      </c>
      <c r="D107" s="74"/>
      <c r="E107" s="104"/>
      <c r="F107" s="18">
        <v>1</v>
      </c>
      <c r="G107" s="19">
        <v>15</v>
      </c>
      <c r="H107" s="19">
        <f t="shared" si="11"/>
        <v>15</v>
      </c>
    </row>
    <row r="108" spans="1:11" x14ac:dyDescent="0.2">
      <c r="B108" s="123" t="s">
        <v>705</v>
      </c>
      <c r="C108" s="37" t="s">
        <v>499</v>
      </c>
      <c r="D108" s="74"/>
      <c r="E108" s="104" t="s">
        <v>520</v>
      </c>
      <c r="F108" s="18">
        <v>1</v>
      </c>
      <c r="G108" s="19">
        <v>25</v>
      </c>
      <c r="H108" s="19">
        <f t="shared" si="11"/>
        <v>25</v>
      </c>
    </row>
    <row r="109" spans="1:11" x14ac:dyDescent="0.2">
      <c r="B109" s="123" t="s">
        <v>706</v>
      </c>
      <c r="C109" s="37" t="s">
        <v>79</v>
      </c>
      <c r="D109" s="74"/>
      <c r="E109" s="104" t="s">
        <v>521</v>
      </c>
      <c r="F109" s="18">
        <v>1</v>
      </c>
      <c r="G109" s="19">
        <v>10</v>
      </c>
      <c r="H109" s="19">
        <f t="shared" si="11"/>
        <v>10</v>
      </c>
    </row>
    <row r="110" spans="1:11" x14ac:dyDescent="0.2">
      <c r="B110" s="123" t="s">
        <v>707</v>
      </c>
      <c r="C110" s="37" t="s">
        <v>500</v>
      </c>
      <c r="D110" s="74"/>
      <c r="E110" s="104" t="s">
        <v>522</v>
      </c>
      <c r="F110" s="18">
        <v>1</v>
      </c>
      <c r="G110" s="19">
        <v>200</v>
      </c>
      <c r="H110" s="19">
        <f t="shared" si="11"/>
        <v>200</v>
      </c>
    </row>
    <row r="111" spans="1:11" x14ac:dyDescent="0.2">
      <c r="B111" s="123" t="s">
        <v>708</v>
      </c>
      <c r="C111" s="37" t="s">
        <v>501</v>
      </c>
      <c r="D111" s="74"/>
      <c r="E111" s="104"/>
      <c r="F111" s="18">
        <v>1</v>
      </c>
      <c r="G111" s="19">
        <v>20</v>
      </c>
      <c r="H111" s="19">
        <f t="shared" si="11"/>
        <v>20</v>
      </c>
    </row>
    <row r="112" spans="1:11" x14ac:dyDescent="0.2">
      <c r="B112" s="123" t="s">
        <v>709</v>
      </c>
      <c r="C112" s="37" t="s">
        <v>356</v>
      </c>
      <c r="D112" s="74"/>
      <c r="E112" s="104" t="s">
        <v>523</v>
      </c>
      <c r="F112" s="18">
        <v>1</v>
      </c>
      <c r="G112" s="19">
        <v>100</v>
      </c>
      <c r="H112" s="19">
        <f t="shared" si="11"/>
        <v>100</v>
      </c>
    </row>
    <row r="113" spans="2:8" x14ac:dyDescent="0.2">
      <c r="B113" s="123" t="s">
        <v>710</v>
      </c>
      <c r="C113" s="37" t="s">
        <v>502</v>
      </c>
      <c r="D113" s="74"/>
      <c r="E113" s="104" t="s">
        <v>524</v>
      </c>
      <c r="F113" s="18">
        <v>1</v>
      </c>
      <c r="G113" s="19">
        <v>10</v>
      </c>
      <c r="H113" s="19">
        <f t="shared" si="11"/>
        <v>10</v>
      </c>
    </row>
    <row r="114" spans="2:8" x14ac:dyDescent="0.2">
      <c r="B114" s="123" t="s">
        <v>711</v>
      </c>
      <c r="C114" s="37" t="s">
        <v>503</v>
      </c>
      <c r="D114" s="74"/>
      <c r="E114" s="104" t="s">
        <v>525</v>
      </c>
      <c r="F114" s="18">
        <v>1</v>
      </c>
      <c r="G114" s="19">
        <v>100</v>
      </c>
      <c r="H114" s="19">
        <f t="shared" si="11"/>
        <v>100</v>
      </c>
    </row>
    <row r="115" spans="2:8" x14ac:dyDescent="0.2">
      <c r="B115" s="123" t="s">
        <v>712</v>
      </c>
      <c r="C115" s="37" t="s">
        <v>504</v>
      </c>
      <c r="D115" s="74"/>
      <c r="E115" s="104" t="s">
        <v>524</v>
      </c>
      <c r="F115" s="18">
        <v>1</v>
      </c>
      <c r="G115" s="19">
        <v>10</v>
      </c>
      <c r="H115" s="19">
        <f t="shared" si="11"/>
        <v>10</v>
      </c>
    </row>
    <row r="116" spans="2:8" x14ac:dyDescent="0.2">
      <c r="B116" s="123" t="s">
        <v>713</v>
      </c>
      <c r="C116" s="37" t="s">
        <v>505</v>
      </c>
      <c r="D116" s="74"/>
      <c r="E116" s="104"/>
      <c r="F116" s="18">
        <v>1</v>
      </c>
      <c r="G116" s="19">
        <v>20</v>
      </c>
      <c r="H116" s="19">
        <f t="shared" si="11"/>
        <v>20</v>
      </c>
    </row>
    <row r="117" spans="2:8" x14ac:dyDescent="0.2">
      <c r="B117" s="123" t="s">
        <v>714</v>
      </c>
      <c r="C117" s="37" t="s">
        <v>506</v>
      </c>
      <c r="D117" s="74"/>
      <c r="E117" s="104" t="s">
        <v>526</v>
      </c>
      <c r="F117" s="18">
        <v>1</v>
      </c>
      <c r="G117" s="19">
        <v>10</v>
      </c>
      <c r="H117" s="19">
        <f t="shared" si="11"/>
        <v>10</v>
      </c>
    </row>
    <row r="118" spans="2:8" x14ac:dyDescent="0.2">
      <c r="B118" s="123" t="s">
        <v>715</v>
      </c>
      <c r="C118" s="37" t="s">
        <v>352</v>
      </c>
      <c r="D118" s="74"/>
      <c r="E118" s="104" t="s">
        <v>523</v>
      </c>
      <c r="F118" s="18">
        <v>1</v>
      </c>
      <c r="G118" s="19">
        <v>100</v>
      </c>
      <c r="H118" s="19">
        <f t="shared" si="11"/>
        <v>100</v>
      </c>
    </row>
    <row r="119" spans="2:8" x14ac:dyDescent="0.2">
      <c r="B119" s="123" t="s">
        <v>716</v>
      </c>
      <c r="C119" s="37" t="s">
        <v>507</v>
      </c>
      <c r="D119" s="74"/>
      <c r="E119" s="104" t="s">
        <v>524</v>
      </c>
      <c r="F119" s="18">
        <v>1</v>
      </c>
      <c r="G119" s="19">
        <v>10</v>
      </c>
      <c r="H119" s="19">
        <f t="shared" si="11"/>
        <v>10</v>
      </c>
    </row>
    <row r="120" spans="2:8" x14ac:dyDescent="0.2">
      <c r="B120" s="123" t="s">
        <v>717</v>
      </c>
      <c r="C120" s="37" t="s">
        <v>508</v>
      </c>
      <c r="D120" s="74"/>
      <c r="E120" s="104"/>
      <c r="F120" s="18">
        <v>1</v>
      </c>
      <c r="G120" s="19">
        <v>15</v>
      </c>
      <c r="H120" s="19">
        <f t="shared" si="11"/>
        <v>15</v>
      </c>
    </row>
    <row r="121" spans="2:8" x14ac:dyDescent="0.2">
      <c r="B121" s="123" t="s">
        <v>718</v>
      </c>
      <c r="C121" s="37" t="s">
        <v>509</v>
      </c>
      <c r="D121" s="74"/>
      <c r="E121" s="104"/>
      <c r="F121" s="18">
        <v>1</v>
      </c>
      <c r="G121" s="19">
        <v>10</v>
      </c>
      <c r="H121" s="19">
        <f t="shared" si="11"/>
        <v>10</v>
      </c>
    </row>
    <row r="122" spans="2:8" x14ac:dyDescent="0.2">
      <c r="B122" s="123" t="s">
        <v>719</v>
      </c>
      <c r="C122" s="37" t="s">
        <v>204</v>
      </c>
      <c r="D122" s="74"/>
      <c r="E122" s="104"/>
      <c r="F122" s="18">
        <v>1</v>
      </c>
      <c r="G122" s="19">
        <v>10</v>
      </c>
      <c r="H122" s="19">
        <f t="shared" si="11"/>
        <v>10</v>
      </c>
    </row>
    <row r="123" spans="2:8" x14ac:dyDescent="0.2">
      <c r="B123" s="123" t="s">
        <v>720</v>
      </c>
      <c r="C123" s="37" t="s">
        <v>510</v>
      </c>
      <c r="D123" s="74"/>
      <c r="E123" s="104"/>
      <c r="F123" s="18">
        <v>1</v>
      </c>
      <c r="G123" s="19">
        <v>5</v>
      </c>
      <c r="H123" s="19">
        <f t="shared" si="11"/>
        <v>5</v>
      </c>
    </row>
    <row r="124" spans="2:8" x14ac:dyDescent="0.2">
      <c r="B124" s="123" t="s">
        <v>721</v>
      </c>
      <c r="C124" s="37" t="s">
        <v>511</v>
      </c>
      <c r="D124" s="74"/>
      <c r="E124" s="104"/>
      <c r="F124" s="18">
        <v>1</v>
      </c>
      <c r="G124" s="19">
        <v>60</v>
      </c>
      <c r="H124" s="19">
        <f t="shared" si="11"/>
        <v>60</v>
      </c>
    </row>
    <row r="125" spans="2:8" x14ac:dyDescent="0.2">
      <c r="B125" s="123" t="s">
        <v>722</v>
      </c>
      <c r="C125" s="37" t="s">
        <v>460</v>
      </c>
      <c r="D125" s="74"/>
      <c r="E125" s="104"/>
      <c r="F125" s="18">
        <v>1</v>
      </c>
      <c r="G125" s="19">
        <v>15</v>
      </c>
      <c r="H125" s="19">
        <f t="shared" si="11"/>
        <v>15</v>
      </c>
    </row>
    <row r="126" spans="2:8" x14ac:dyDescent="0.2">
      <c r="B126" s="123" t="s">
        <v>723</v>
      </c>
      <c r="C126" s="37" t="s">
        <v>461</v>
      </c>
      <c r="D126" s="74"/>
      <c r="E126" s="104"/>
      <c r="F126" s="18">
        <v>1</v>
      </c>
      <c r="G126" s="19">
        <v>15</v>
      </c>
      <c r="H126" s="19">
        <f t="shared" si="11"/>
        <v>15</v>
      </c>
    </row>
    <row r="127" spans="2:8" x14ac:dyDescent="0.2">
      <c r="B127" s="123" t="s">
        <v>724</v>
      </c>
      <c r="C127" s="37" t="s">
        <v>462</v>
      </c>
      <c r="D127" s="74"/>
      <c r="E127" s="104"/>
      <c r="F127" s="18">
        <v>1</v>
      </c>
      <c r="G127" s="19">
        <v>15</v>
      </c>
      <c r="H127" s="19">
        <f t="shared" si="11"/>
        <v>15</v>
      </c>
    </row>
    <row r="128" spans="2:8" x14ac:dyDescent="0.2">
      <c r="B128" s="123" t="s">
        <v>725</v>
      </c>
      <c r="C128" s="37" t="s">
        <v>463</v>
      </c>
      <c r="D128" s="74"/>
      <c r="E128" s="104"/>
      <c r="F128" s="18">
        <v>1</v>
      </c>
      <c r="G128" s="19">
        <v>15</v>
      </c>
      <c r="H128" s="19">
        <f t="shared" si="11"/>
        <v>15</v>
      </c>
    </row>
    <row r="129" spans="1:11" x14ac:dyDescent="0.2">
      <c r="B129" s="123" t="s">
        <v>726</v>
      </c>
      <c r="C129" s="37" t="s">
        <v>512</v>
      </c>
      <c r="D129" s="74"/>
      <c r="E129" s="104" t="s">
        <v>527</v>
      </c>
      <c r="F129" s="18">
        <v>1</v>
      </c>
      <c r="G129" s="19">
        <v>10</v>
      </c>
      <c r="H129" s="19">
        <f t="shared" si="11"/>
        <v>10</v>
      </c>
    </row>
    <row r="130" spans="1:11" x14ac:dyDescent="0.2">
      <c r="B130" s="123" t="s">
        <v>727</v>
      </c>
      <c r="C130" s="37" t="s">
        <v>513</v>
      </c>
      <c r="D130" s="74"/>
      <c r="E130" s="104" t="s">
        <v>527</v>
      </c>
      <c r="F130" s="18">
        <v>1</v>
      </c>
      <c r="G130" s="19">
        <v>10</v>
      </c>
      <c r="H130" s="19">
        <f t="shared" si="11"/>
        <v>10</v>
      </c>
    </row>
    <row r="131" spans="1:11" x14ac:dyDescent="0.2">
      <c r="B131" s="123" t="s">
        <v>728</v>
      </c>
      <c r="C131" s="37" t="s">
        <v>514</v>
      </c>
      <c r="D131" s="74"/>
      <c r="E131" s="104" t="s">
        <v>527</v>
      </c>
      <c r="F131" s="18">
        <v>1</v>
      </c>
      <c r="G131" s="19">
        <v>10</v>
      </c>
      <c r="H131" s="19">
        <f t="shared" si="11"/>
        <v>10</v>
      </c>
    </row>
    <row r="132" spans="1:11" x14ac:dyDescent="0.2">
      <c r="B132" s="123" t="s">
        <v>729</v>
      </c>
      <c r="C132" s="37" t="s">
        <v>515</v>
      </c>
      <c r="D132" s="74"/>
      <c r="E132" s="104" t="s">
        <v>527</v>
      </c>
      <c r="F132" s="18">
        <v>1</v>
      </c>
      <c r="G132" s="19">
        <v>10</v>
      </c>
      <c r="H132" s="19">
        <f t="shared" si="11"/>
        <v>10</v>
      </c>
    </row>
    <row r="133" spans="1:11" x14ac:dyDescent="0.2">
      <c r="B133" s="123" t="s">
        <v>730</v>
      </c>
      <c r="C133" s="37" t="s">
        <v>516</v>
      </c>
      <c r="D133" s="74"/>
      <c r="E133" s="104" t="s">
        <v>527</v>
      </c>
      <c r="F133" s="18">
        <v>1</v>
      </c>
      <c r="G133" s="19">
        <v>10</v>
      </c>
      <c r="H133" s="19">
        <f t="shared" si="11"/>
        <v>10</v>
      </c>
    </row>
    <row r="134" spans="1:11" x14ac:dyDescent="0.2">
      <c r="B134" s="123" t="s">
        <v>731</v>
      </c>
      <c r="C134" s="37" t="s">
        <v>236</v>
      </c>
      <c r="D134" s="74"/>
      <c r="E134" s="104"/>
      <c r="F134" s="18">
        <v>1</v>
      </c>
      <c r="G134" s="19">
        <v>4</v>
      </c>
      <c r="H134" s="19">
        <f t="shared" si="11"/>
        <v>4</v>
      </c>
    </row>
    <row r="135" spans="1:11" x14ac:dyDescent="0.2">
      <c r="B135" s="123" t="s">
        <v>732</v>
      </c>
      <c r="C135" s="37" t="s">
        <v>517</v>
      </c>
      <c r="D135" s="74"/>
      <c r="E135" s="104"/>
      <c r="F135" s="18">
        <v>1</v>
      </c>
      <c r="G135" s="19">
        <v>9</v>
      </c>
      <c r="H135" s="19">
        <f t="shared" si="11"/>
        <v>9</v>
      </c>
    </row>
    <row r="136" spans="1:11" x14ac:dyDescent="0.2">
      <c r="B136" s="123" t="s">
        <v>733</v>
      </c>
      <c r="C136" s="37" t="s">
        <v>518</v>
      </c>
      <c r="D136" s="74"/>
      <c r="E136" s="104"/>
      <c r="F136" s="18">
        <v>1</v>
      </c>
      <c r="G136" s="19">
        <v>12</v>
      </c>
      <c r="H136" s="19">
        <f t="shared" si="11"/>
        <v>12</v>
      </c>
    </row>
    <row r="137" spans="1:11" x14ac:dyDescent="0.2">
      <c r="B137" s="123" t="s">
        <v>734</v>
      </c>
      <c r="C137" s="37" t="s">
        <v>519</v>
      </c>
      <c r="D137" s="74"/>
      <c r="E137" s="104" t="s">
        <v>528</v>
      </c>
      <c r="F137" s="18">
        <v>1</v>
      </c>
      <c r="G137" s="19" t="s">
        <v>454</v>
      </c>
      <c r="H137" s="37" t="s">
        <v>454</v>
      </c>
    </row>
    <row r="138" spans="1:11" s="4" customFormat="1" x14ac:dyDescent="0.2">
      <c r="A138" s="4" t="s">
        <v>809</v>
      </c>
      <c r="B138" s="24"/>
      <c r="C138" s="34" t="s">
        <v>533</v>
      </c>
      <c r="D138" s="70"/>
      <c r="E138" s="34"/>
      <c r="F138" s="25"/>
      <c r="G138" s="26"/>
      <c r="H138" s="27">
        <f>H139</f>
        <v>140</v>
      </c>
    </row>
    <row r="139" spans="1:11" x14ac:dyDescent="0.2">
      <c r="B139" s="123" t="s">
        <v>735</v>
      </c>
      <c r="C139" s="17" t="s">
        <v>529</v>
      </c>
      <c r="D139" s="74"/>
      <c r="E139" s="104"/>
      <c r="F139" s="18">
        <v>1</v>
      </c>
      <c r="G139" s="19">
        <v>140</v>
      </c>
      <c r="H139" s="19">
        <f t="shared" ref="H139" si="12">F139*G139</f>
        <v>140</v>
      </c>
      <c r="K139" s="4"/>
    </row>
    <row r="140" spans="1:11" s="4" customFormat="1" ht="22.35" customHeight="1" x14ac:dyDescent="0.2">
      <c r="A140" s="4" t="s">
        <v>809</v>
      </c>
      <c r="B140" s="98"/>
      <c r="C140" s="99" t="s">
        <v>555</v>
      </c>
      <c r="D140" s="100"/>
      <c r="E140" s="100"/>
      <c r="F140" s="101"/>
      <c r="G140" s="102"/>
      <c r="H140" s="103">
        <f>SUM(H141:H145)</f>
        <v>123</v>
      </c>
    </row>
    <row r="141" spans="1:11" ht="25.5" x14ac:dyDescent="0.2">
      <c r="B141" s="123" t="s">
        <v>736</v>
      </c>
      <c r="C141" s="37" t="s">
        <v>834</v>
      </c>
      <c r="D141" s="74"/>
      <c r="E141" s="104"/>
      <c r="F141" s="18">
        <v>1</v>
      </c>
      <c r="G141" s="19">
        <f>75</f>
        <v>75</v>
      </c>
      <c r="H141" s="19">
        <f t="shared" ref="H141:H143" si="13">F141*G141</f>
        <v>75</v>
      </c>
      <c r="K141" s="4"/>
    </row>
    <row r="142" spans="1:11" ht="25.5" x14ac:dyDescent="0.2">
      <c r="B142" s="123" t="s">
        <v>737</v>
      </c>
      <c r="C142" s="37" t="s">
        <v>835</v>
      </c>
      <c r="D142" s="74"/>
      <c r="E142" s="104"/>
      <c r="F142" s="18">
        <v>1</v>
      </c>
      <c r="G142" s="19">
        <v>12</v>
      </c>
      <c r="H142" s="19">
        <f t="shared" si="13"/>
        <v>12</v>
      </c>
      <c r="K142" s="4"/>
    </row>
    <row r="143" spans="1:11" ht="25.5" x14ac:dyDescent="0.2">
      <c r="B143" s="123" t="s">
        <v>737</v>
      </c>
      <c r="C143" s="37" t="s">
        <v>418</v>
      </c>
      <c r="D143" s="74"/>
      <c r="E143" s="104" t="s">
        <v>557</v>
      </c>
      <c r="F143" s="18">
        <v>1</v>
      </c>
      <c r="G143" s="19">
        <v>20</v>
      </c>
      <c r="H143" s="19">
        <f t="shared" si="13"/>
        <v>20</v>
      </c>
      <c r="K143" s="4"/>
    </row>
    <row r="144" spans="1:11" ht="25.5" x14ac:dyDescent="0.2">
      <c r="B144" s="123" t="s">
        <v>738</v>
      </c>
      <c r="C144" s="37" t="s">
        <v>647</v>
      </c>
      <c r="D144" s="74"/>
      <c r="E144" s="104"/>
      <c r="F144" s="18">
        <v>1</v>
      </c>
      <c r="G144" s="19">
        <v>4</v>
      </c>
      <c r="H144" s="19">
        <f t="shared" ref="H144" si="14">F144*G144</f>
        <v>4</v>
      </c>
      <c r="K144" s="4"/>
    </row>
    <row r="145" spans="1:12" ht="25.5" x14ac:dyDescent="0.2">
      <c r="B145" s="123" t="s">
        <v>739</v>
      </c>
      <c r="C145" s="37" t="s">
        <v>556</v>
      </c>
      <c r="D145" s="74"/>
      <c r="E145" s="104" t="s">
        <v>558</v>
      </c>
      <c r="F145" s="18">
        <v>1</v>
      </c>
      <c r="G145" s="19">
        <v>12</v>
      </c>
      <c r="H145" s="19">
        <f t="shared" ref="H145" si="15">F145*G145</f>
        <v>12</v>
      </c>
      <c r="K145" s="4"/>
    </row>
    <row r="146" spans="1:12" ht="18" x14ac:dyDescent="0.25">
      <c r="A146" t="s">
        <v>809</v>
      </c>
      <c r="B146" s="546" t="s">
        <v>173</v>
      </c>
      <c r="C146" s="547"/>
      <c r="D146" s="547"/>
      <c r="E146" s="547"/>
      <c r="F146" s="547"/>
      <c r="G146" s="547"/>
      <c r="H146" s="57">
        <f>H147+H151+H166</f>
        <v>576</v>
      </c>
      <c r="J146" s="4"/>
      <c r="K146" s="4"/>
    </row>
    <row r="147" spans="1:12" s="4" customFormat="1" x14ac:dyDescent="0.2">
      <c r="A147" s="4" t="s">
        <v>809</v>
      </c>
      <c r="B147" s="24"/>
      <c r="C147" s="182" t="s">
        <v>608</v>
      </c>
      <c r="D147" s="70"/>
      <c r="E147" s="70"/>
      <c r="F147" s="25"/>
      <c r="G147" s="26"/>
      <c r="H147" s="27">
        <f>SUM(H148:H150)</f>
        <v>86</v>
      </c>
    </row>
    <row r="148" spans="1:12" x14ac:dyDescent="0.2">
      <c r="B148" s="17" t="s">
        <v>740</v>
      </c>
      <c r="C148" s="37" t="s">
        <v>588</v>
      </c>
      <c r="D148" s="79">
        <v>4</v>
      </c>
      <c r="E148" s="79" t="s">
        <v>589</v>
      </c>
      <c r="F148" s="18">
        <v>1</v>
      </c>
      <c r="G148" s="12">
        <f>4*8</f>
        <v>32</v>
      </c>
      <c r="H148" s="19">
        <f>F148*G148</f>
        <v>32</v>
      </c>
    </row>
    <row r="149" spans="1:12" x14ac:dyDescent="0.2">
      <c r="B149" s="17" t="s">
        <v>745</v>
      </c>
      <c r="C149" s="37" t="s">
        <v>88</v>
      </c>
      <c r="D149" s="79"/>
      <c r="E149" s="79"/>
      <c r="F149" s="18">
        <v>1</v>
      </c>
      <c r="G149" s="12">
        <v>22</v>
      </c>
      <c r="H149" s="19">
        <f>F149*G149</f>
        <v>22</v>
      </c>
    </row>
    <row r="150" spans="1:12" x14ac:dyDescent="0.2">
      <c r="B150" s="17" t="s">
        <v>745</v>
      </c>
      <c r="C150" s="115" t="s">
        <v>422</v>
      </c>
      <c r="D150" s="74"/>
      <c r="F150" s="18">
        <v>1</v>
      </c>
      <c r="G150" s="117">
        <v>32</v>
      </c>
      <c r="H150" s="118">
        <f>F150*G150</f>
        <v>32</v>
      </c>
      <c r="J150" s="194"/>
      <c r="L150" s="4" t="s">
        <v>842</v>
      </c>
    </row>
    <row r="151" spans="1:12" s="4" customFormat="1" x14ac:dyDescent="0.2">
      <c r="A151" s="4" t="s">
        <v>809</v>
      </c>
      <c r="B151" s="24"/>
      <c r="C151" s="182" t="s">
        <v>442</v>
      </c>
      <c r="D151" s="70"/>
      <c r="E151" s="70"/>
      <c r="F151" s="25"/>
      <c r="G151" s="26"/>
      <c r="H151" s="27">
        <f>SUM(H152:H165)</f>
        <v>475</v>
      </c>
    </row>
    <row r="152" spans="1:12" x14ac:dyDescent="0.2">
      <c r="B152" s="127" t="s">
        <v>741</v>
      </c>
      <c r="C152" s="37" t="s">
        <v>535</v>
      </c>
      <c r="D152" s="74"/>
      <c r="E152" s="37" t="s">
        <v>563</v>
      </c>
      <c r="F152" s="18">
        <v>1</v>
      </c>
      <c r="G152" s="19">
        <v>20</v>
      </c>
      <c r="H152" s="19">
        <f t="shared" ref="H152:H165" si="16">F152*G152</f>
        <v>20</v>
      </c>
      <c r="K152" s="4"/>
    </row>
    <row r="153" spans="1:12" x14ac:dyDescent="0.2">
      <c r="B153" s="127" t="s">
        <v>743</v>
      </c>
      <c r="C153" s="115" t="s">
        <v>820</v>
      </c>
      <c r="D153" s="74"/>
      <c r="E153" s="37"/>
      <c r="F153" s="18">
        <v>1</v>
      </c>
      <c r="G153" s="118">
        <v>2</v>
      </c>
      <c r="H153" s="118">
        <f t="shared" si="16"/>
        <v>2</v>
      </c>
      <c r="K153" s="4"/>
    </row>
    <row r="154" spans="1:12" x14ac:dyDescent="0.2">
      <c r="B154" s="127" t="s">
        <v>746</v>
      </c>
      <c r="C154" s="37" t="s">
        <v>564</v>
      </c>
      <c r="D154" s="74"/>
      <c r="E154" s="37"/>
      <c r="F154" s="18">
        <v>1</v>
      </c>
      <c r="G154" s="19">
        <v>2</v>
      </c>
      <c r="H154" s="19">
        <f t="shared" si="16"/>
        <v>2</v>
      </c>
    </row>
    <row r="155" spans="1:12" x14ac:dyDescent="0.2">
      <c r="B155" s="127" t="s">
        <v>747</v>
      </c>
      <c r="C155" s="37" t="s">
        <v>536</v>
      </c>
      <c r="D155" s="74"/>
      <c r="E155" s="37"/>
      <c r="F155" s="18">
        <v>1</v>
      </c>
      <c r="G155" s="19">
        <v>20</v>
      </c>
      <c r="H155" s="19">
        <f t="shared" si="16"/>
        <v>20</v>
      </c>
    </row>
    <row r="156" spans="1:12" x14ac:dyDescent="0.2">
      <c r="B156" s="127" t="s">
        <v>742</v>
      </c>
      <c r="C156" s="37" t="s">
        <v>821</v>
      </c>
      <c r="D156" s="74"/>
      <c r="E156" s="37" t="s">
        <v>568</v>
      </c>
      <c r="F156" s="18">
        <v>8</v>
      </c>
      <c r="G156" s="19">
        <v>4</v>
      </c>
      <c r="H156" s="19">
        <f t="shared" si="16"/>
        <v>32</v>
      </c>
    </row>
    <row r="157" spans="1:12" x14ac:dyDescent="0.2">
      <c r="B157" s="127" t="s">
        <v>748</v>
      </c>
      <c r="C157" s="37" t="s">
        <v>569</v>
      </c>
      <c r="D157" s="74"/>
      <c r="E157" s="37" t="s">
        <v>570</v>
      </c>
      <c r="F157" s="18">
        <v>4</v>
      </c>
      <c r="G157" s="19">
        <v>10</v>
      </c>
      <c r="H157" s="19">
        <f t="shared" si="16"/>
        <v>40</v>
      </c>
    </row>
    <row r="158" spans="1:12" x14ac:dyDescent="0.2">
      <c r="B158" s="127" t="s">
        <v>749</v>
      </c>
      <c r="C158" s="37" t="s">
        <v>593</v>
      </c>
      <c r="D158" s="74"/>
      <c r="E158" s="37" t="s">
        <v>592</v>
      </c>
      <c r="F158" s="18">
        <v>1</v>
      </c>
      <c r="G158" s="19">
        <v>60</v>
      </c>
      <c r="H158" s="19">
        <f t="shared" si="16"/>
        <v>60</v>
      </c>
    </row>
    <row r="159" spans="1:12" x14ac:dyDescent="0.2">
      <c r="B159" s="127" t="s">
        <v>750</v>
      </c>
      <c r="C159" s="37" t="s">
        <v>537</v>
      </c>
      <c r="D159" s="74"/>
      <c r="E159" s="37" t="s">
        <v>542</v>
      </c>
      <c r="F159" s="18">
        <v>1</v>
      </c>
      <c r="G159" s="19">
        <v>60</v>
      </c>
      <c r="H159" s="19">
        <f t="shared" si="16"/>
        <v>60</v>
      </c>
    </row>
    <row r="160" spans="1:12" x14ac:dyDescent="0.2">
      <c r="B160" s="127" t="s">
        <v>751</v>
      </c>
      <c r="C160" s="37" t="s">
        <v>538</v>
      </c>
      <c r="D160" s="74"/>
      <c r="E160" s="37" t="s">
        <v>543</v>
      </c>
      <c r="F160" s="18">
        <v>1</v>
      </c>
      <c r="G160" s="19">
        <v>30</v>
      </c>
      <c r="H160" s="19">
        <f t="shared" si="16"/>
        <v>30</v>
      </c>
    </row>
    <row r="161" spans="1:10" x14ac:dyDescent="0.2">
      <c r="B161" s="127" t="s">
        <v>752</v>
      </c>
      <c r="C161" s="37" t="s">
        <v>539</v>
      </c>
      <c r="D161" s="74"/>
      <c r="E161" s="37" t="s">
        <v>839</v>
      </c>
      <c r="F161" s="18">
        <v>1</v>
      </c>
      <c r="G161" s="19">
        <f>2*8</f>
        <v>16</v>
      </c>
      <c r="H161" s="19">
        <f>F161*G161</f>
        <v>16</v>
      </c>
    </row>
    <row r="162" spans="1:10" x14ac:dyDescent="0.2">
      <c r="B162" s="127" t="s">
        <v>753</v>
      </c>
      <c r="C162" s="37" t="s">
        <v>540</v>
      </c>
      <c r="D162" s="74"/>
      <c r="E162" s="37" t="s">
        <v>565</v>
      </c>
      <c r="F162" s="18">
        <v>15</v>
      </c>
      <c r="G162" s="112">
        <v>2.5</v>
      </c>
      <c r="H162" s="19">
        <f t="shared" si="16"/>
        <v>37.5</v>
      </c>
    </row>
    <row r="163" spans="1:10" x14ac:dyDescent="0.2">
      <c r="B163" s="127" t="s">
        <v>744</v>
      </c>
      <c r="C163" s="37" t="s">
        <v>594</v>
      </c>
      <c r="D163" s="74"/>
      <c r="E163" s="37" t="s">
        <v>566</v>
      </c>
      <c r="F163" s="18">
        <v>35</v>
      </c>
      <c r="G163" s="112">
        <v>2.5</v>
      </c>
      <c r="H163" s="19">
        <f t="shared" si="16"/>
        <v>87.5</v>
      </c>
    </row>
    <row r="164" spans="1:10" x14ac:dyDescent="0.2">
      <c r="B164" s="127" t="s">
        <v>754</v>
      </c>
      <c r="C164" s="37" t="s">
        <v>567</v>
      </c>
      <c r="D164" s="74"/>
      <c r="E164" s="115" t="s">
        <v>840</v>
      </c>
      <c r="F164" s="18">
        <v>1</v>
      </c>
      <c r="G164" s="208">
        <v>60</v>
      </c>
      <c r="H164" s="118">
        <f t="shared" si="16"/>
        <v>60</v>
      </c>
    </row>
    <row r="165" spans="1:10" x14ac:dyDescent="0.2">
      <c r="B165" s="127" t="s">
        <v>755</v>
      </c>
      <c r="C165" s="37" t="s">
        <v>541</v>
      </c>
      <c r="D165" s="74"/>
      <c r="E165" s="37" t="s">
        <v>545</v>
      </c>
      <c r="F165" s="18">
        <v>1</v>
      </c>
      <c r="G165" s="19">
        <v>8</v>
      </c>
      <c r="H165" s="19">
        <f t="shared" si="16"/>
        <v>8</v>
      </c>
    </row>
    <row r="166" spans="1:10" s="4" customFormat="1" x14ac:dyDescent="0.2">
      <c r="A166" s="4" t="s">
        <v>809</v>
      </c>
      <c r="B166" s="24"/>
      <c r="C166" s="34" t="s">
        <v>176</v>
      </c>
      <c r="D166" s="70"/>
      <c r="E166" s="70"/>
      <c r="F166" s="25"/>
      <c r="G166" s="26"/>
      <c r="H166" s="27">
        <f>H167</f>
        <v>15</v>
      </c>
    </row>
    <row r="167" spans="1:10" x14ac:dyDescent="0.2">
      <c r="B167" s="174" t="s">
        <v>755</v>
      </c>
      <c r="C167" s="43" t="s">
        <v>544</v>
      </c>
      <c r="D167" s="75"/>
      <c r="E167" s="75"/>
      <c r="F167" s="195">
        <v>1</v>
      </c>
      <c r="G167" s="196">
        <v>15</v>
      </c>
      <c r="H167" s="209">
        <f t="shared" ref="H167" si="17">F167*G167</f>
        <v>15</v>
      </c>
    </row>
    <row r="168" spans="1:10" ht="18" x14ac:dyDescent="0.25">
      <c r="A168" t="s">
        <v>809</v>
      </c>
      <c r="B168" s="548" t="s">
        <v>235</v>
      </c>
      <c r="C168" s="549"/>
      <c r="D168" s="549"/>
      <c r="E168" s="549"/>
      <c r="F168" s="549"/>
      <c r="G168" s="549"/>
      <c r="H168" s="56">
        <f>H169+H177+H199</f>
        <v>752</v>
      </c>
      <c r="J168" s="119"/>
    </row>
    <row r="169" spans="1:10" s="4" customFormat="1" x14ac:dyDescent="0.2">
      <c r="A169" s="4" t="s">
        <v>809</v>
      </c>
      <c r="B169" s="24"/>
      <c r="C169" s="34" t="s">
        <v>453</v>
      </c>
      <c r="D169" s="70"/>
      <c r="E169" s="70"/>
      <c r="F169" s="25"/>
      <c r="G169" s="26"/>
      <c r="H169" s="27">
        <f>SUM(H170:H176)</f>
        <v>491</v>
      </c>
    </row>
    <row r="170" spans="1:10" x14ac:dyDescent="0.2">
      <c r="B170" s="173" t="s">
        <v>756</v>
      </c>
      <c r="C170" s="52" t="s">
        <v>443</v>
      </c>
      <c r="D170" s="76"/>
      <c r="E170" s="52" t="s">
        <v>448</v>
      </c>
      <c r="F170" s="53">
        <v>1</v>
      </c>
      <c r="G170" s="41">
        <v>224</v>
      </c>
      <c r="H170" s="41">
        <f t="shared" ref="H170:H175" si="18">F170*G170</f>
        <v>224</v>
      </c>
    </row>
    <row r="171" spans="1:10" x14ac:dyDescent="0.2">
      <c r="B171" s="173" t="s">
        <v>757</v>
      </c>
      <c r="C171" s="37" t="s">
        <v>444</v>
      </c>
      <c r="D171" s="74"/>
      <c r="E171" s="37" t="s">
        <v>449</v>
      </c>
      <c r="F171" s="18">
        <v>1</v>
      </c>
      <c r="G171" s="41">
        <v>128</v>
      </c>
      <c r="H171" s="41">
        <f t="shared" si="18"/>
        <v>128</v>
      </c>
    </row>
    <row r="172" spans="1:10" x14ac:dyDescent="0.2">
      <c r="B172" s="173" t="s">
        <v>758</v>
      </c>
      <c r="C172" s="37" t="s">
        <v>239</v>
      </c>
      <c r="D172" s="74"/>
      <c r="E172" s="37"/>
      <c r="F172" s="18">
        <v>1</v>
      </c>
      <c r="G172" s="41">
        <v>4</v>
      </c>
      <c r="H172" s="41">
        <f t="shared" si="18"/>
        <v>4</v>
      </c>
    </row>
    <row r="173" spans="1:10" x14ac:dyDescent="0.2">
      <c r="B173" s="173" t="s">
        <v>759</v>
      </c>
      <c r="C173" s="37" t="s">
        <v>291</v>
      </c>
      <c r="D173" s="74"/>
      <c r="E173" s="37" t="s">
        <v>454</v>
      </c>
      <c r="F173" s="18">
        <v>1</v>
      </c>
      <c r="G173" s="41" t="s">
        <v>454</v>
      </c>
      <c r="H173" s="41" t="s">
        <v>454</v>
      </c>
    </row>
    <row r="174" spans="1:10" x14ac:dyDescent="0.2">
      <c r="B174" s="173" t="s">
        <v>760</v>
      </c>
      <c r="C174" s="37" t="s">
        <v>445</v>
      </c>
      <c r="D174" s="74"/>
      <c r="E174" s="37" t="s">
        <v>454</v>
      </c>
      <c r="F174" s="18">
        <v>1</v>
      </c>
      <c r="G174" s="41" t="s">
        <v>454</v>
      </c>
      <c r="H174" s="41" t="s">
        <v>454</v>
      </c>
    </row>
    <row r="175" spans="1:10" x14ac:dyDescent="0.2">
      <c r="B175" s="173" t="s">
        <v>761</v>
      </c>
      <c r="C175" s="37" t="s">
        <v>446</v>
      </c>
      <c r="D175" s="74"/>
      <c r="E175" s="37" t="s">
        <v>451</v>
      </c>
      <c r="F175" s="18">
        <v>1</v>
      </c>
      <c r="G175" s="41">
        <v>120</v>
      </c>
      <c r="H175" s="41">
        <f t="shared" si="18"/>
        <v>120</v>
      </c>
    </row>
    <row r="176" spans="1:10" x14ac:dyDescent="0.2">
      <c r="B176" s="173" t="s">
        <v>762</v>
      </c>
      <c r="C176" s="37" t="s">
        <v>447</v>
      </c>
      <c r="D176" s="74"/>
      <c r="E176" s="37" t="s">
        <v>452</v>
      </c>
      <c r="F176" s="18">
        <v>1</v>
      </c>
      <c r="G176" s="41">
        <v>15</v>
      </c>
      <c r="H176" s="41">
        <f>F176*G176</f>
        <v>15</v>
      </c>
    </row>
    <row r="177" spans="1:10" s="4" customFormat="1" x14ac:dyDescent="0.2">
      <c r="A177" s="4" t="s">
        <v>809</v>
      </c>
      <c r="B177" s="24"/>
      <c r="C177" s="175" t="s">
        <v>806</v>
      </c>
      <c r="D177" s="70"/>
      <c r="E177" s="70"/>
      <c r="F177" s="25"/>
      <c r="G177" s="26"/>
      <c r="H177" s="27">
        <f>SUM(H178:H198)</f>
        <v>238</v>
      </c>
      <c r="J177" s="134"/>
    </row>
    <row r="178" spans="1:10" x14ac:dyDescent="0.2">
      <c r="B178" s="173" t="s">
        <v>763</v>
      </c>
      <c r="C178" s="37" t="s">
        <v>455</v>
      </c>
      <c r="D178" s="74"/>
      <c r="E178" s="37" t="s">
        <v>472</v>
      </c>
      <c r="F178" s="18">
        <v>1</v>
      </c>
      <c r="G178" s="41">
        <v>50</v>
      </c>
      <c r="H178" s="41">
        <f>F178*G178</f>
        <v>50</v>
      </c>
    </row>
    <row r="179" spans="1:10" x14ac:dyDescent="0.2">
      <c r="B179" s="173" t="s">
        <v>764</v>
      </c>
      <c r="C179" s="37" t="s">
        <v>295</v>
      </c>
      <c r="D179" s="84"/>
      <c r="E179" s="37" t="s">
        <v>473</v>
      </c>
      <c r="F179" s="18">
        <v>1</v>
      </c>
      <c r="G179" s="41">
        <v>12</v>
      </c>
      <c r="H179" s="41">
        <f t="shared" ref="H179:H187" si="19">F179*G179</f>
        <v>12</v>
      </c>
    </row>
    <row r="180" spans="1:10" x14ac:dyDescent="0.2">
      <c r="B180" s="173" t="s">
        <v>765</v>
      </c>
      <c r="C180" s="37" t="s">
        <v>298</v>
      </c>
      <c r="D180" s="84"/>
      <c r="E180" s="37" t="s">
        <v>473</v>
      </c>
      <c r="F180" s="18">
        <v>1</v>
      </c>
      <c r="G180" s="41">
        <v>12</v>
      </c>
      <c r="H180" s="41">
        <f t="shared" si="19"/>
        <v>12</v>
      </c>
    </row>
    <row r="181" spans="1:10" x14ac:dyDescent="0.2">
      <c r="B181" s="173" t="s">
        <v>766</v>
      </c>
      <c r="C181" s="37" t="s">
        <v>456</v>
      </c>
      <c r="D181" s="74"/>
      <c r="E181" s="37" t="s">
        <v>473</v>
      </c>
      <c r="F181" s="18">
        <v>1</v>
      </c>
      <c r="G181" s="41">
        <v>8</v>
      </c>
      <c r="H181" s="41">
        <f t="shared" si="19"/>
        <v>8</v>
      </c>
    </row>
    <row r="182" spans="1:10" x14ac:dyDescent="0.2">
      <c r="B182" s="173" t="s">
        <v>767</v>
      </c>
      <c r="C182" s="37" t="s">
        <v>239</v>
      </c>
      <c r="D182" s="74"/>
      <c r="E182" s="37"/>
      <c r="F182" s="18">
        <v>1</v>
      </c>
      <c r="G182" s="41">
        <v>4</v>
      </c>
      <c r="H182" s="41">
        <f t="shared" si="19"/>
        <v>4</v>
      </c>
    </row>
    <row r="183" spans="1:10" x14ac:dyDescent="0.2">
      <c r="B183" s="173" t="s">
        <v>768</v>
      </c>
      <c r="C183" s="37" t="s">
        <v>457</v>
      </c>
      <c r="D183" s="74"/>
      <c r="E183" s="37"/>
      <c r="F183" s="18">
        <v>1</v>
      </c>
      <c r="G183" s="41">
        <v>12</v>
      </c>
      <c r="H183" s="41">
        <f t="shared" si="19"/>
        <v>12</v>
      </c>
    </row>
    <row r="184" spans="1:10" x14ac:dyDescent="0.2">
      <c r="B184" s="173" t="s">
        <v>769</v>
      </c>
      <c r="C184" s="37" t="s">
        <v>204</v>
      </c>
      <c r="D184" s="74"/>
      <c r="E184" s="37"/>
      <c r="F184" s="18">
        <v>1</v>
      </c>
      <c r="G184" s="41">
        <v>12</v>
      </c>
      <c r="H184" s="41">
        <f t="shared" si="19"/>
        <v>12</v>
      </c>
    </row>
    <row r="185" spans="1:10" x14ac:dyDescent="0.2">
      <c r="B185" s="173" t="s">
        <v>770</v>
      </c>
      <c r="C185" s="37" t="s">
        <v>458</v>
      </c>
      <c r="D185" s="74"/>
      <c r="E185" s="37" t="s">
        <v>474</v>
      </c>
      <c r="F185" s="18">
        <v>1</v>
      </c>
      <c r="G185" s="41">
        <v>18</v>
      </c>
      <c r="H185" s="41">
        <f t="shared" si="19"/>
        <v>18</v>
      </c>
    </row>
    <row r="186" spans="1:10" x14ac:dyDescent="0.2">
      <c r="B186" s="173" t="s">
        <v>771</v>
      </c>
      <c r="C186" s="37" t="s">
        <v>459</v>
      </c>
      <c r="D186" s="74"/>
      <c r="E186" s="37" t="s">
        <v>475</v>
      </c>
      <c r="F186" s="18">
        <v>1</v>
      </c>
      <c r="G186" s="41">
        <v>6</v>
      </c>
      <c r="H186" s="41">
        <f t="shared" si="19"/>
        <v>6</v>
      </c>
    </row>
    <row r="187" spans="1:10" x14ac:dyDescent="0.2">
      <c r="B187" s="173" t="s">
        <v>772</v>
      </c>
      <c r="C187" s="37" t="s">
        <v>460</v>
      </c>
      <c r="D187" s="74"/>
      <c r="E187" s="37"/>
      <c r="F187" s="18">
        <v>1</v>
      </c>
      <c r="G187" s="41">
        <v>4</v>
      </c>
      <c r="H187" s="41">
        <f t="shared" si="19"/>
        <v>4</v>
      </c>
    </row>
    <row r="188" spans="1:10" x14ac:dyDescent="0.2">
      <c r="B188" s="173" t="s">
        <v>773</v>
      </c>
      <c r="C188" s="37" t="s">
        <v>461</v>
      </c>
      <c r="D188" s="74"/>
      <c r="E188" s="37"/>
      <c r="F188" s="18">
        <v>1</v>
      </c>
      <c r="G188" s="41">
        <v>4</v>
      </c>
      <c r="H188" s="41">
        <f>F188*G188</f>
        <v>4</v>
      </c>
    </row>
    <row r="189" spans="1:10" x14ac:dyDescent="0.2">
      <c r="B189" s="173" t="s">
        <v>774</v>
      </c>
      <c r="C189" s="37" t="s">
        <v>462</v>
      </c>
      <c r="D189" s="74"/>
      <c r="E189" s="37"/>
      <c r="F189" s="18">
        <v>1</v>
      </c>
      <c r="G189" s="41">
        <v>4</v>
      </c>
      <c r="H189" s="41">
        <f t="shared" ref="H189:H197" si="20">F189*G189</f>
        <v>4</v>
      </c>
    </row>
    <row r="190" spans="1:10" x14ac:dyDescent="0.2">
      <c r="B190" s="173" t="s">
        <v>775</v>
      </c>
      <c r="C190" s="37" t="s">
        <v>463</v>
      </c>
      <c r="D190" s="74"/>
      <c r="E190" s="37"/>
      <c r="F190" s="18">
        <v>1</v>
      </c>
      <c r="G190" s="41">
        <v>5</v>
      </c>
      <c r="H190" s="41">
        <f t="shared" si="20"/>
        <v>5</v>
      </c>
    </row>
    <row r="191" spans="1:10" x14ac:dyDescent="0.2">
      <c r="B191" s="173" t="s">
        <v>776</v>
      </c>
      <c r="C191" s="37" t="s">
        <v>464</v>
      </c>
      <c r="D191" s="74"/>
      <c r="E191" s="37"/>
      <c r="F191" s="18">
        <v>1</v>
      </c>
      <c r="G191" s="41">
        <v>6</v>
      </c>
      <c r="H191" s="41">
        <f t="shared" si="20"/>
        <v>6</v>
      </c>
    </row>
    <row r="192" spans="1:10" x14ac:dyDescent="0.2">
      <c r="B192" s="173" t="s">
        <v>777</v>
      </c>
      <c r="C192" s="37" t="s">
        <v>465</v>
      </c>
      <c r="D192" s="74"/>
      <c r="E192" s="37"/>
      <c r="F192" s="18">
        <v>1</v>
      </c>
      <c r="G192" s="41">
        <v>15</v>
      </c>
      <c r="H192" s="41">
        <f t="shared" si="20"/>
        <v>15</v>
      </c>
    </row>
    <row r="193" spans="1:8" x14ac:dyDescent="0.2">
      <c r="B193" s="173" t="s">
        <v>778</v>
      </c>
      <c r="C193" s="37" t="s">
        <v>466</v>
      </c>
      <c r="D193" s="74"/>
      <c r="E193" s="37"/>
      <c r="F193" s="18">
        <v>1</v>
      </c>
      <c r="G193" s="41">
        <v>2</v>
      </c>
      <c r="H193" s="41">
        <f t="shared" si="20"/>
        <v>2</v>
      </c>
    </row>
    <row r="194" spans="1:8" x14ac:dyDescent="0.2">
      <c r="B194" s="173" t="s">
        <v>779</v>
      </c>
      <c r="C194" s="37" t="s">
        <v>467</v>
      </c>
      <c r="D194" s="74"/>
      <c r="E194" s="37"/>
      <c r="F194" s="18">
        <v>1</v>
      </c>
      <c r="G194" s="41">
        <v>18</v>
      </c>
      <c r="H194" s="41">
        <f t="shared" si="20"/>
        <v>18</v>
      </c>
    </row>
    <row r="195" spans="1:8" x14ac:dyDescent="0.2">
      <c r="B195" s="173" t="s">
        <v>780</v>
      </c>
      <c r="C195" s="37" t="s">
        <v>468</v>
      </c>
      <c r="D195" s="74"/>
      <c r="E195" s="37"/>
      <c r="F195" s="18">
        <v>1</v>
      </c>
      <c r="G195" s="41">
        <v>2</v>
      </c>
      <c r="H195" s="41">
        <f t="shared" si="20"/>
        <v>2</v>
      </c>
    </row>
    <row r="196" spans="1:8" x14ac:dyDescent="0.2">
      <c r="B196" s="173" t="s">
        <v>781</v>
      </c>
      <c r="C196" s="37" t="s">
        <v>469</v>
      </c>
      <c r="D196" s="74"/>
      <c r="E196" s="37"/>
      <c r="F196" s="18">
        <v>1</v>
      </c>
      <c r="G196" s="41">
        <v>30</v>
      </c>
      <c r="H196" s="41">
        <f t="shared" si="20"/>
        <v>30</v>
      </c>
    </row>
    <row r="197" spans="1:8" x14ac:dyDescent="0.2">
      <c r="B197" s="173" t="s">
        <v>782</v>
      </c>
      <c r="C197" s="37" t="s">
        <v>470</v>
      </c>
      <c r="D197" s="74"/>
      <c r="E197" s="37" t="s">
        <v>476</v>
      </c>
      <c r="F197" s="18">
        <v>1</v>
      </c>
      <c r="G197" s="41">
        <v>14</v>
      </c>
      <c r="H197" s="41">
        <f t="shared" si="20"/>
        <v>14</v>
      </c>
    </row>
    <row r="198" spans="1:8" x14ac:dyDescent="0.2">
      <c r="B198" s="173" t="s">
        <v>783</v>
      </c>
      <c r="C198" s="37" t="s">
        <v>471</v>
      </c>
      <c r="D198" s="74"/>
      <c r="E198" s="37" t="s">
        <v>477</v>
      </c>
      <c r="F198" s="18">
        <v>1</v>
      </c>
      <c r="G198" s="41" t="s">
        <v>454</v>
      </c>
      <c r="H198" s="41" t="s">
        <v>454</v>
      </c>
    </row>
    <row r="199" spans="1:8" s="4" customFormat="1" x14ac:dyDescent="0.2">
      <c r="A199" s="4" t="s">
        <v>809</v>
      </c>
      <c r="B199" s="24"/>
      <c r="C199" s="34" t="s">
        <v>478</v>
      </c>
      <c r="D199" s="70"/>
      <c r="E199" s="70"/>
      <c r="F199" s="25"/>
      <c r="G199" s="26"/>
      <c r="H199" s="27">
        <f>SUM(H200:H202)</f>
        <v>23</v>
      </c>
    </row>
    <row r="200" spans="1:8" s="4" customFormat="1" x14ac:dyDescent="0.2">
      <c r="B200" s="127" t="s">
        <v>784</v>
      </c>
      <c r="C200" s="37" t="s">
        <v>226</v>
      </c>
      <c r="D200" s="74"/>
      <c r="E200" s="37"/>
      <c r="F200" s="18">
        <v>1</v>
      </c>
      <c r="G200" s="41">
        <v>15</v>
      </c>
      <c r="H200" s="41">
        <f t="shared" ref="H200:H201" si="21">F200*G200</f>
        <v>15</v>
      </c>
    </row>
    <row r="201" spans="1:8" x14ac:dyDescent="0.2">
      <c r="B201" s="127" t="s">
        <v>785</v>
      </c>
      <c r="C201" s="37" t="s">
        <v>228</v>
      </c>
      <c r="D201" s="74"/>
      <c r="E201" s="37"/>
      <c r="F201" s="18">
        <v>1</v>
      </c>
      <c r="G201" s="41">
        <v>8</v>
      </c>
      <c r="H201" s="41">
        <f t="shared" si="21"/>
        <v>8</v>
      </c>
    </row>
    <row r="202" spans="1:8" x14ac:dyDescent="0.2">
      <c r="B202" s="127" t="s">
        <v>786</v>
      </c>
      <c r="C202" s="37" t="s">
        <v>479</v>
      </c>
      <c r="D202" s="74"/>
      <c r="E202" s="37" t="s">
        <v>615</v>
      </c>
      <c r="F202" s="18">
        <v>1</v>
      </c>
      <c r="G202" s="41" t="s">
        <v>454</v>
      </c>
      <c r="H202" s="41" t="s">
        <v>454</v>
      </c>
    </row>
    <row r="203" spans="1:8" ht="18" x14ac:dyDescent="0.25">
      <c r="A203" t="s">
        <v>809</v>
      </c>
      <c r="B203" s="530" t="s">
        <v>113</v>
      </c>
      <c r="C203" s="531"/>
      <c r="D203" s="531"/>
      <c r="E203" s="531"/>
      <c r="F203" s="531"/>
      <c r="G203" s="531"/>
      <c r="H203" s="50">
        <f>H204+H209+H211+H221+H225+H228</f>
        <v>721.4</v>
      </c>
    </row>
    <row r="204" spans="1:8" s="4" customFormat="1" x14ac:dyDescent="0.2">
      <c r="A204" s="4" t="s">
        <v>809</v>
      </c>
      <c r="B204" s="24"/>
      <c r="C204" s="34" t="s">
        <v>402</v>
      </c>
      <c r="D204" s="70"/>
      <c r="E204" s="70"/>
      <c r="F204" s="25"/>
      <c r="G204" s="26"/>
      <c r="H204" s="27">
        <f>SUM(H205:H208)</f>
        <v>123.4</v>
      </c>
    </row>
    <row r="205" spans="1:8" x14ac:dyDescent="0.2">
      <c r="B205" s="17" t="s">
        <v>787</v>
      </c>
      <c r="C205" s="37" t="s">
        <v>240</v>
      </c>
      <c r="D205" s="74"/>
      <c r="E205" s="74"/>
      <c r="F205" s="18">
        <v>1</v>
      </c>
      <c r="G205" s="12">
        <v>45.4</v>
      </c>
      <c r="H205" s="19">
        <f>F205*G205</f>
        <v>45.4</v>
      </c>
    </row>
    <row r="206" spans="1:8" x14ac:dyDescent="0.2">
      <c r="B206" s="17" t="s">
        <v>788</v>
      </c>
      <c r="C206" s="37" t="s">
        <v>241</v>
      </c>
      <c r="D206" s="74"/>
      <c r="E206" s="74"/>
      <c r="F206" s="18">
        <v>1</v>
      </c>
      <c r="G206" s="12">
        <v>26</v>
      </c>
      <c r="H206" s="19">
        <f>F206*G206</f>
        <v>26</v>
      </c>
    </row>
    <row r="207" spans="1:8" x14ac:dyDescent="0.2">
      <c r="B207" s="17" t="s">
        <v>789</v>
      </c>
      <c r="C207" s="37" t="s">
        <v>242</v>
      </c>
      <c r="D207" s="74">
        <v>4</v>
      </c>
      <c r="E207" s="83"/>
      <c r="F207" s="18">
        <v>1</v>
      </c>
      <c r="G207" s="12">
        <f>4*8</f>
        <v>32</v>
      </c>
      <c r="H207" s="19">
        <f>F207*G207</f>
        <v>32</v>
      </c>
    </row>
    <row r="208" spans="1:8" x14ac:dyDescent="0.2">
      <c r="B208" s="17" t="s">
        <v>790</v>
      </c>
      <c r="C208" s="37" t="s">
        <v>616</v>
      </c>
      <c r="D208" s="74"/>
      <c r="E208" s="74"/>
      <c r="F208" s="18">
        <v>2</v>
      </c>
      <c r="G208" s="12">
        <v>10</v>
      </c>
      <c r="H208" s="19">
        <f>F208*G208</f>
        <v>20</v>
      </c>
    </row>
    <row r="209" spans="1:8" s="4" customFormat="1" x14ac:dyDescent="0.2">
      <c r="A209" s="4" t="s">
        <v>809</v>
      </c>
      <c r="B209" s="24"/>
      <c r="C209" s="34" t="s">
        <v>401</v>
      </c>
      <c r="D209" s="70"/>
      <c r="E209" s="70"/>
      <c r="F209" s="25"/>
      <c r="G209" s="26"/>
      <c r="H209" s="27">
        <f>H210</f>
        <v>10.6</v>
      </c>
    </row>
    <row r="210" spans="1:8" x14ac:dyDescent="0.2">
      <c r="B210" s="17" t="s">
        <v>791</v>
      </c>
      <c r="C210" s="37" t="s">
        <v>250</v>
      </c>
      <c r="D210" s="74"/>
      <c r="E210" s="74"/>
      <c r="F210" s="18">
        <v>2</v>
      </c>
      <c r="G210" s="12">
        <v>5.3</v>
      </c>
      <c r="H210" s="19">
        <f>F210*G210</f>
        <v>10.6</v>
      </c>
    </row>
    <row r="211" spans="1:8" s="4" customFormat="1" x14ac:dyDescent="0.2">
      <c r="A211" s="4" t="s">
        <v>809</v>
      </c>
      <c r="B211" s="24"/>
      <c r="C211" s="34" t="s">
        <v>400</v>
      </c>
      <c r="D211" s="70"/>
      <c r="E211" s="70"/>
      <c r="F211" s="25"/>
      <c r="G211" s="26"/>
      <c r="H211" s="27">
        <f>SUM(H212:H220)</f>
        <v>186.3</v>
      </c>
    </row>
    <row r="212" spans="1:8" x14ac:dyDescent="0.2">
      <c r="B212" s="17" t="s">
        <v>792</v>
      </c>
      <c r="C212" s="37" t="s">
        <v>243</v>
      </c>
      <c r="D212" s="74"/>
      <c r="E212" s="74"/>
      <c r="F212" s="18">
        <v>1</v>
      </c>
      <c r="G212" s="12">
        <v>21.6</v>
      </c>
      <c r="H212" s="19">
        <f t="shared" ref="H212:H220" si="22">F212*G212</f>
        <v>21.6</v>
      </c>
    </row>
    <row r="213" spans="1:8" x14ac:dyDescent="0.2">
      <c r="B213" s="17" t="s">
        <v>793</v>
      </c>
      <c r="C213" s="37" t="s">
        <v>245</v>
      </c>
      <c r="D213" s="74"/>
      <c r="E213" s="74"/>
      <c r="F213" s="18">
        <v>1</v>
      </c>
      <c r="G213" s="12">
        <v>13</v>
      </c>
      <c r="H213" s="19">
        <f t="shared" si="22"/>
        <v>13</v>
      </c>
    </row>
    <row r="214" spans="1:8" x14ac:dyDescent="0.2">
      <c r="B214" s="17" t="s">
        <v>794</v>
      </c>
      <c r="C214" s="37" t="s">
        <v>246</v>
      </c>
      <c r="D214" s="74"/>
      <c r="E214" s="74"/>
      <c r="F214" s="18">
        <v>1</v>
      </c>
      <c r="G214" s="12">
        <v>13</v>
      </c>
      <c r="H214" s="19">
        <f t="shared" si="22"/>
        <v>13</v>
      </c>
    </row>
    <row r="215" spans="1:8" x14ac:dyDescent="0.2">
      <c r="B215" s="17" t="s">
        <v>795</v>
      </c>
      <c r="C215" s="37" t="s">
        <v>247</v>
      </c>
      <c r="D215" s="74"/>
      <c r="E215" s="74"/>
      <c r="F215" s="18">
        <v>1</v>
      </c>
      <c r="G215" s="12">
        <v>30</v>
      </c>
      <c r="H215" s="19">
        <f t="shared" si="22"/>
        <v>30</v>
      </c>
    </row>
    <row r="216" spans="1:8" x14ac:dyDescent="0.2">
      <c r="B216" s="17" t="s">
        <v>796</v>
      </c>
      <c r="C216" s="37" t="s">
        <v>248</v>
      </c>
      <c r="D216" s="74"/>
      <c r="E216" s="74"/>
      <c r="F216" s="18">
        <v>1</v>
      </c>
      <c r="G216" s="12">
        <v>22.2</v>
      </c>
      <c r="H216" s="19">
        <f t="shared" si="22"/>
        <v>22.2</v>
      </c>
    </row>
    <row r="217" spans="1:8" x14ac:dyDescent="0.2">
      <c r="B217" s="17" t="s">
        <v>797</v>
      </c>
      <c r="C217" s="37" t="s">
        <v>249</v>
      </c>
      <c r="D217" s="74"/>
      <c r="E217" s="74"/>
      <c r="F217" s="18">
        <v>1</v>
      </c>
      <c r="G217" s="12">
        <v>7.9</v>
      </c>
      <c r="H217" s="19">
        <f t="shared" si="22"/>
        <v>7.9</v>
      </c>
    </row>
    <row r="218" spans="1:8" x14ac:dyDescent="0.2">
      <c r="B218" s="17" t="s">
        <v>798</v>
      </c>
      <c r="C218" s="37" t="s">
        <v>251</v>
      </c>
      <c r="D218" s="74"/>
      <c r="E218" s="74"/>
      <c r="F218" s="18">
        <v>1</v>
      </c>
      <c r="G218" s="12">
        <v>43.7</v>
      </c>
      <c r="H218" s="19">
        <f t="shared" si="22"/>
        <v>43.7</v>
      </c>
    </row>
    <row r="219" spans="1:8" x14ac:dyDescent="0.2">
      <c r="B219" s="17" t="s">
        <v>799</v>
      </c>
      <c r="C219" s="37" t="s">
        <v>252</v>
      </c>
      <c r="D219" s="74"/>
      <c r="E219" s="74"/>
      <c r="F219" s="18">
        <v>1</v>
      </c>
      <c r="G219" s="12">
        <v>24.4</v>
      </c>
      <c r="H219" s="19">
        <f t="shared" si="22"/>
        <v>24.4</v>
      </c>
    </row>
    <row r="220" spans="1:8" x14ac:dyDescent="0.2">
      <c r="B220" s="17" t="s">
        <v>800</v>
      </c>
      <c r="C220" s="37" t="s">
        <v>253</v>
      </c>
      <c r="D220" s="74"/>
      <c r="E220" s="74"/>
      <c r="F220" s="18">
        <v>1</v>
      </c>
      <c r="G220" s="12">
        <v>10.5</v>
      </c>
      <c r="H220" s="19">
        <f t="shared" si="22"/>
        <v>10.5</v>
      </c>
    </row>
    <row r="221" spans="1:8" s="4" customFormat="1" x14ac:dyDescent="0.2">
      <c r="A221" s="4" t="s">
        <v>809</v>
      </c>
      <c r="B221" s="24"/>
      <c r="C221" s="34" t="s">
        <v>392</v>
      </c>
      <c r="D221" s="70"/>
      <c r="E221" s="70"/>
      <c r="F221" s="25"/>
      <c r="G221" s="26"/>
      <c r="H221" s="27">
        <f>SUM(H222:H224)</f>
        <v>72</v>
      </c>
    </row>
    <row r="222" spans="1:8" x14ac:dyDescent="0.2">
      <c r="B222" s="17" t="s">
        <v>801</v>
      </c>
      <c r="C222" s="37" t="s">
        <v>559</v>
      </c>
      <c r="D222" s="74"/>
      <c r="E222" s="74"/>
      <c r="F222" s="18">
        <v>1</v>
      </c>
      <c r="G222" s="12">
        <v>15</v>
      </c>
      <c r="H222" s="19">
        <f>F222*G222</f>
        <v>15</v>
      </c>
    </row>
    <row r="223" spans="1:8" x14ac:dyDescent="0.2">
      <c r="B223" s="17" t="s">
        <v>802</v>
      </c>
      <c r="C223" s="37" t="s">
        <v>236</v>
      </c>
      <c r="D223" s="74"/>
      <c r="E223" s="74"/>
      <c r="F223" s="18">
        <v>6</v>
      </c>
      <c r="G223" s="12">
        <v>5</v>
      </c>
      <c r="H223" s="19">
        <f>F223*G223</f>
        <v>30</v>
      </c>
    </row>
    <row r="224" spans="1:8" ht="25.5" x14ac:dyDescent="0.2">
      <c r="B224" s="17" t="s">
        <v>803</v>
      </c>
      <c r="C224" s="37" t="s">
        <v>239</v>
      </c>
      <c r="D224" s="74"/>
      <c r="E224" s="74" t="s">
        <v>560</v>
      </c>
      <c r="F224" s="18">
        <v>3</v>
      </c>
      <c r="G224" s="12">
        <v>9</v>
      </c>
      <c r="H224" s="19">
        <f>F224*G224</f>
        <v>27</v>
      </c>
    </row>
    <row r="225" spans="1:17" s="4" customFormat="1" x14ac:dyDescent="0.2">
      <c r="A225" s="4" t="s">
        <v>809</v>
      </c>
      <c r="B225" s="24"/>
      <c r="C225" s="34" t="s">
        <v>244</v>
      </c>
      <c r="D225" s="70"/>
      <c r="E225" s="70"/>
      <c r="F225" s="25"/>
      <c r="G225" s="26"/>
      <c r="H225" s="27">
        <f>SUM(H226:H227)</f>
        <v>109.1</v>
      </c>
    </row>
    <row r="226" spans="1:17" x14ac:dyDescent="0.2">
      <c r="B226" s="17" t="s">
        <v>807</v>
      </c>
      <c r="C226" s="37" t="s">
        <v>244</v>
      </c>
      <c r="D226" s="74"/>
      <c r="E226" s="74"/>
      <c r="F226" s="18">
        <v>1</v>
      </c>
      <c r="G226" s="12">
        <v>48.2</v>
      </c>
      <c r="H226" s="19">
        <f>F226*G226</f>
        <v>48.2</v>
      </c>
    </row>
    <row r="227" spans="1:17" x14ac:dyDescent="0.2">
      <c r="B227" s="17" t="s">
        <v>808</v>
      </c>
      <c r="C227" s="43" t="s">
        <v>244</v>
      </c>
      <c r="D227" s="75"/>
      <c r="E227" s="75"/>
      <c r="F227" s="21">
        <v>1</v>
      </c>
      <c r="G227" s="44">
        <v>60.9</v>
      </c>
      <c r="H227" s="23">
        <f>F227*G227</f>
        <v>60.9</v>
      </c>
    </row>
    <row r="228" spans="1:17" s="4" customFormat="1" x14ac:dyDescent="0.2">
      <c r="A228" s="4" t="s">
        <v>809</v>
      </c>
      <c r="B228" s="24"/>
      <c r="C228" s="34" t="s">
        <v>617</v>
      </c>
      <c r="D228" s="70"/>
      <c r="E228" s="70"/>
      <c r="F228" s="25"/>
      <c r="G228" s="26"/>
      <c r="H228" s="27">
        <f>SUM(H229:H230)</f>
        <v>220</v>
      </c>
      <c r="I228"/>
      <c r="M228"/>
    </row>
    <row r="229" spans="1:17" s="110" customFormat="1" ht="63.75" x14ac:dyDescent="0.2">
      <c r="A229" s="109"/>
      <c r="B229" s="172" t="s">
        <v>810</v>
      </c>
      <c r="C229" s="135" t="s">
        <v>631</v>
      </c>
      <c r="D229" s="136">
        <f>900+(900*30%)</f>
        <v>1170</v>
      </c>
      <c r="E229" s="136" t="s">
        <v>632</v>
      </c>
      <c r="F229" s="137"/>
      <c r="G229" s="138">
        <f>MROUND((D229)/25*4,10)</f>
        <v>190</v>
      </c>
      <c r="H229" s="139">
        <f>G229</f>
        <v>190</v>
      </c>
      <c r="I229"/>
      <c r="J229"/>
      <c r="K229"/>
      <c r="L229" s="109"/>
      <c r="M229"/>
      <c r="Q229" s="111"/>
    </row>
    <row r="230" spans="1:17" s="110" customFormat="1" ht="14.1" customHeight="1" x14ac:dyDescent="0.2">
      <c r="A230" s="109"/>
      <c r="B230" s="42" t="s">
        <v>811</v>
      </c>
      <c r="C230" s="140" t="s">
        <v>562</v>
      </c>
      <c r="D230" s="141">
        <v>130</v>
      </c>
      <c r="E230" s="141" t="s">
        <v>579</v>
      </c>
      <c r="F230" s="61"/>
      <c r="G230" s="142">
        <f>MROUND((D230)/20*4,10)</f>
        <v>30</v>
      </c>
      <c r="H230" s="62">
        <f>G230</f>
        <v>30</v>
      </c>
      <c r="I230"/>
      <c r="J230"/>
      <c r="K230"/>
      <c r="L230" s="109"/>
      <c r="M230"/>
      <c r="Q230" s="111"/>
    </row>
    <row r="231" spans="1:17" x14ac:dyDescent="0.2">
      <c r="C231"/>
      <c r="D231"/>
      <c r="E231"/>
      <c r="F231"/>
      <c r="G231"/>
      <c r="H231"/>
    </row>
    <row r="232" spans="1:17" ht="15" x14ac:dyDescent="0.2">
      <c r="A232" s="189" t="s">
        <v>809</v>
      </c>
      <c r="B232" s="3" t="s">
        <v>1</v>
      </c>
      <c r="C232" s="32" t="s">
        <v>2</v>
      </c>
      <c r="D232" s="68"/>
      <c r="E232" s="68"/>
      <c r="F232" s="10" t="s">
        <v>3</v>
      </c>
      <c r="G232" s="7"/>
      <c r="H232" s="7" t="s">
        <v>818</v>
      </c>
    </row>
    <row r="233" spans="1:17" ht="3" customHeight="1" x14ac:dyDescent="0.2"/>
    <row r="234" spans="1:17" ht="20.25" x14ac:dyDescent="0.3">
      <c r="A234" t="s">
        <v>809</v>
      </c>
      <c r="B234" s="550" t="s">
        <v>847</v>
      </c>
      <c r="C234" s="551"/>
      <c r="D234" s="551"/>
      <c r="E234" s="551"/>
      <c r="F234" s="551"/>
      <c r="G234" s="551"/>
      <c r="H234" s="8">
        <f>H235</f>
        <v>14758</v>
      </c>
    </row>
    <row r="235" spans="1:17" ht="18" x14ac:dyDescent="0.25">
      <c r="A235" t="s">
        <v>809</v>
      </c>
      <c r="B235" s="146" t="s">
        <v>819</v>
      </c>
      <c r="C235" s="147"/>
      <c r="D235" s="147"/>
      <c r="E235" s="147"/>
      <c r="F235" s="147">
        <f>SUM(F239:F240)</f>
        <v>50</v>
      </c>
      <c r="G235" s="147"/>
      <c r="H235" s="145">
        <f>SUM(H236:H242)</f>
        <v>14758</v>
      </c>
    </row>
    <row r="236" spans="1:17" x14ac:dyDescent="0.2">
      <c r="B236" s="17"/>
      <c r="C236" s="123" t="s">
        <v>812</v>
      </c>
      <c r="D236" s="74"/>
      <c r="E236" s="74"/>
      <c r="F236" s="81">
        <v>1</v>
      </c>
      <c r="G236" s="192">
        <v>200</v>
      </c>
      <c r="H236" s="190">
        <f>F236*G236</f>
        <v>200</v>
      </c>
    </row>
    <row r="237" spans="1:17" x14ac:dyDescent="0.2">
      <c r="B237" s="17"/>
      <c r="C237" s="123" t="s">
        <v>816</v>
      </c>
      <c r="D237" s="74"/>
      <c r="E237" s="74"/>
      <c r="F237" s="81">
        <v>2</v>
      </c>
      <c r="G237" s="192">
        <v>2200</v>
      </c>
      <c r="H237" s="190">
        <f>F237*G237</f>
        <v>4400</v>
      </c>
    </row>
    <row r="238" spans="1:17" x14ac:dyDescent="0.2">
      <c r="B238" s="17"/>
      <c r="C238" s="123" t="s">
        <v>817</v>
      </c>
      <c r="D238" s="74"/>
      <c r="E238" s="74"/>
      <c r="F238" s="81"/>
      <c r="G238" s="192"/>
      <c r="H238" s="190">
        <v>8660</v>
      </c>
    </row>
    <row r="239" spans="1:17" ht="25.5" x14ac:dyDescent="0.2">
      <c r="B239" s="17"/>
      <c r="C239" s="123" t="s">
        <v>622</v>
      </c>
      <c r="D239" s="74"/>
      <c r="E239" s="37"/>
      <c r="F239" s="81">
        <f>50-F240</f>
        <v>49</v>
      </c>
      <c r="G239" s="192">
        <v>25</v>
      </c>
      <c r="H239" s="190">
        <f t="shared" ref="H239" si="23">F239*G239</f>
        <v>1225</v>
      </c>
    </row>
    <row r="240" spans="1:17" ht="25.5" x14ac:dyDescent="0.2">
      <c r="B240" s="17"/>
      <c r="C240" s="123" t="s">
        <v>814</v>
      </c>
      <c r="D240" s="74"/>
      <c r="E240" s="37"/>
      <c r="F240" s="81">
        <v>1</v>
      </c>
      <c r="G240" s="192">
        <v>33</v>
      </c>
      <c r="H240" s="190">
        <f>F240*G240</f>
        <v>33</v>
      </c>
    </row>
    <row r="241" spans="2:14" x14ac:dyDescent="0.2">
      <c r="B241" s="17"/>
      <c r="C241" s="183" t="s">
        <v>625</v>
      </c>
      <c r="D241" s="74"/>
      <c r="E241" s="37"/>
      <c r="F241" s="81">
        <v>20</v>
      </c>
      <c r="G241" s="192">
        <v>2</v>
      </c>
      <c r="H241" s="190">
        <f>F241*G241</f>
        <v>40</v>
      </c>
    </row>
    <row r="242" spans="2:14" x14ac:dyDescent="0.2">
      <c r="B242" s="42"/>
      <c r="C242" s="184" t="s">
        <v>644</v>
      </c>
      <c r="D242" s="178"/>
      <c r="E242" s="177"/>
      <c r="F242" s="188">
        <v>1</v>
      </c>
      <c r="G242" s="193">
        <v>200</v>
      </c>
      <c r="H242" s="191">
        <v>200</v>
      </c>
      <c r="I242" s="181"/>
    </row>
    <row r="243" spans="2:14" ht="18" x14ac:dyDescent="0.25">
      <c r="B243" s="146" t="s">
        <v>854</v>
      </c>
      <c r="C243" s="147"/>
      <c r="D243" s="147"/>
      <c r="E243" s="147"/>
      <c r="F243" s="147">
        <f>SUM(F244:F247)</f>
        <v>250</v>
      </c>
      <c r="G243" s="210"/>
      <c r="H243" s="145">
        <f>SUM(H244:H247)</f>
        <v>6290</v>
      </c>
    </row>
    <row r="244" spans="2:14" ht="25.5" x14ac:dyDescent="0.2">
      <c r="B244" s="17"/>
      <c r="C244" s="123" t="s">
        <v>623</v>
      </c>
      <c r="D244" s="74"/>
      <c r="E244" s="74"/>
      <c r="F244" s="81">
        <f>10-F245</f>
        <v>9</v>
      </c>
      <c r="G244" s="192">
        <v>25</v>
      </c>
      <c r="H244" s="190">
        <f>F244*G244</f>
        <v>225</v>
      </c>
    </row>
    <row r="245" spans="2:14" ht="25.5" x14ac:dyDescent="0.2">
      <c r="B245" s="17"/>
      <c r="C245" s="123" t="s">
        <v>813</v>
      </c>
      <c r="D245" s="74"/>
      <c r="E245" s="74"/>
      <c r="F245" s="81">
        <v>1</v>
      </c>
      <c r="G245" s="192">
        <v>33</v>
      </c>
      <c r="H245" s="190">
        <f t="shared" ref="H245" si="24">F245*G245</f>
        <v>33</v>
      </c>
    </row>
    <row r="246" spans="2:14" ht="25.5" x14ac:dyDescent="0.2">
      <c r="B246" s="17"/>
      <c r="C246" s="123" t="s">
        <v>624</v>
      </c>
      <c r="D246" s="74"/>
      <c r="E246" s="74"/>
      <c r="F246" s="186">
        <v>236</v>
      </c>
      <c r="G246" s="192">
        <v>25</v>
      </c>
      <c r="H246" s="190">
        <f>F246*G246</f>
        <v>5900</v>
      </c>
    </row>
    <row r="247" spans="2:14" ht="25.5" x14ac:dyDescent="0.2">
      <c r="B247" s="45"/>
      <c r="C247" s="183" t="s">
        <v>815</v>
      </c>
      <c r="D247" s="75"/>
      <c r="E247" s="74"/>
      <c r="F247" s="220">
        <v>4</v>
      </c>
      <c r="G247" s="213">
        <v>33</v>
      </c>
      <c r="H247" s="190">
        <f>G247*F247</f>
        <v>132</v>
      </c>
    </row>
    <row r="248" spans="2:14" x14ac:dyDescent="0.2">
      <c r="B248" s="212"/>
      <c r="C248" s="176"/>
      <c r="E248" s="179"/>
      <c r="G248" s="180"/>
      <c r="H248" s="180"/>
    </row>
    <row r="249" spans="2:14" x14ac:dyDescent="0.2">
      <c r="G249" s="6" t="s">
        <v>619</v>
      </c>
      <c r="H249" s="6">
        <f>H244+H245+H246+H247</f>
        <v>6290</v>
      </c>
    </row>
    <row r="250" spans="2:14" x14ac:dyDescent="0.2">
      <c r="H250" s="6">
        <f>H249/2</f>
        <v>3145</v>
      </c>
      <c r="K250" s="149" t="s">
        <v>626</v>
      </c>
      <c r="L250" s="148">
        <f>SUM(H9:H12)+SUM(H14:H15)+SUM(H18:H19)+SUM(H21)+SUM(H23:H30)+SUM(H32:H36)+SUM(H39:H49)+H51+SUM(H54:H57)+SUM(H59:H62)+SUM(H64:H65)+SUM(H67)+SUM(H71:H81)+SUM(H83:H87)+SUM(H90:H103)+SUM(H105:H137)+SUM(H139)+SUM(H141:H145)+SUM(H148:H150)+SUM(H152:H165)+SUM(H167)+SUM(H170:H176)+SUM(H178:H198)+SUM(H200:H202)+SUM(H210)+SUM(H212:H220)+SUM(H222:H224)+SUM(H229:H230)+SUM(H226:H227)+SUM(H205:H208)</f>
        <v>9730.25</v>
      </c>
      <c r="M250" s="148" t="e">
        <f>SUM(#REF!)+SUM(#REF!)+SUM(#REF!)+SUM(#REF!)+SUM(#REF!)+SUM(#REF!)+SUM(#REF!)+#REF!+SUM(#REF!)+SUM(#REF!)+SUM(#REF!)+SUM(#REF!)+SUM(#REF!)+SUM(#REF!)+SUM(#REF!)+SUM(#REF!)+SUM(#REF!)+SUM(#REF!)+SUM(#REF!)+SUM(#REF!)+SUM(#REF!)+SUM(#REF!)+SUM(#REF!)+SUM(#REF!)+SUM(H205:H208)+SUM(#REF!)+SUM(#REF!)+SUM(#REF!)+SUM(H226:H227)+SUM(#REF!)</f>
        <v>#REF!</v>
      </c>
    </row>
    <row r="251" spans="2:14" x14ac:dyDescent="0.2">
      <c r="K251" s="149" t="s">
        <v>626</v>
      </c>
      <c r="L251" s="6">
        <f>L250+H204</f>
        <v>9853.65</v>
      </c>
      <c r="M251" s="6" t="s">
        <v>643</v>
      </c>
    </row>
    <row r="254" spans="2:14" x14ac:dyDescent="0.2">
      <c r="K254" s="6" t="s">
        <v>639</v>
      </c>
      <c r="M254">
        <v>4000</v>
      </c>
      <c r="N254" s="171">
        <f>M254/M257</f>
        <v>0.40040040040040042</v>
      </c>
    </row>
    <row r="255" spans="2:14" x14ac:dyDescent="0.2">
      <c r="K255" s="6" t="s">
        <v>641</v>
      </c>
      <c r="M255">
        <v>1490</v>
      </c>
      <c r="N255" s="171">
        <f>M255/M257</f>
        <v>0.14914914914914915</v>
      </c>
    </row>
    <row r="256" spans="2:14" x14ac:dyDescent="0.2">
      <c r="K256" s="6" t="s">
        <v>640</v>
      </c>
      <c r="M256">
        <v>4500</v>
      </c>
      <c r="N256" s="171">
        <f>M256/M257</f>
        <v>0.45045045045045046</v>
      </c>
    </row>
    <row r="257" spans="11:13" x14ac:dyDescent="0.2">
      <c r="K257" s="148" t="s">
        <v>642</v>
      </c>
      <c r="M257" s="162">
        <f>SUM(M254:M256)</f>
        <v>9990</v>
      </c>
    </row>
    <row r="258" spans="11:13" x14ac:dyDescent="0.2">
      <c r="K258" s="6"/>
    </row>
  </sheetData>
  <autoFilter ref="A1:A260" xr:uid="{DF64D6F6-2EEC-4BCC-BD0B-4D79E90550FB}"/>
  <mergeCells count="9">
    <mergeCell ref="B234:G234"/>
    <mergeCell ref="F2:H2"/>
    <mergeCell ref="B146:G146"/>
    <mergeCell ref="B168:G168"/>
    <mergeCell ref="B203:G203"/>
    <mergeCell ref="B5:G5"/>
    <mergeCell ref="B7:G7"/>
    <mergeCell ref="B37:G37"/>
    <mergeCell ref="B68:G68"/>
  </mergeCells>
  <phoneticPr fontId="8" type="noConversion"/>
  <conditionalFormatting sqref="L250">
    <cfRule type="cellIs" dxfId="2" priority="2" operator="equal">
      <formula>$H$5</formula>
    </cfRule>
  </conditionalFormatting>
  <conditionalFormatting sqref="M250">
    <cfRule type="cellIs" dxfId="1" priority="1" operator="equal">
      <formula>#REF!</formula>
    </cfRule>
  </conditionalFormatting>
  <pageMargins left="0.7" right="0.7" top="0.75" bottom="0.75" header="0.3" footer="0.3"/>
  <pageSetup paperSize="8" scale="86" fitToHeight="0" orientation="portrait" r:id="rId1"/>
  <ignoredErrors>
    <ignoredError sqref="H20 H13" formula="1"/>
    <ignoredError sqref="F5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B8D86-7A2D-4754-A300-BECFC8105170}">
  <dimension ref="B2:J31"/>
  <sheetViews>
    <sheetView workbookViewId="0">
      <selection activeCell="B29" sqref="B29"/>
    </sheetView>
  </sheetViews>
  <sheetFormatPr baseColWidth="10" defaultRowHeight="12.75" x14ac:dyDescent="0.2"/>
  <cols>
    <col min="2" max="2" width="35.42578125" bestFit="1" customWidth="1"/>
    <col min="3" max="3" width="1.5703125" customWidth="1"/>
    <col min="4" max="4" width="12" bestFit="1" customWidth="1"/>
    <col min="5" max="5" width="11.85546875" customWidth="1"/>
    <col min="6" max="6" width="1.5703125" customWidth="1"/>
    <col min="7" max="7" width="12.28515625" customWidth="1"/>
    <col min="8" max="8" width="1.5703125" customWidth="1"/>
    <col min="9" max="9" width="13" customWidth="1"/>
    <col min="10" max="10" width="8.85546875" customWidth="1"/>
  </cols>
  <sheetData>
    <row r="2" spans="2:10" ht="15.6" customHeight="1" x14ac:dyDescent="0.2">
      <c r="D2" s="554" t="s">
        <v>430</v>
      </c>
      <c r="E2" s="554"/>
      <c r="F2" s="162"/>
      <c r="G2" s="185" t="s">
        <v>432</v>
      </c>
      <c r="I2" s="163" t="s">
        <v>433</v>
      </c>
    </row>
    <row r="3" spans="2:10" ht="29.1" customHeight="1" x14ac:dyDescent="0.2">
      <c r="B3" s="3" t="s">
        <v>431</v>
      </c>
      <c r="D3" s="160" t="s">
        <v>5</v>
      </c>
      <c r="E3" s="161" t="s">
        <v>618</v>
      </c>
      <c r="G3" s="160" t="s">
        <v>5</v>
      </c>
      <c r="I3" s="60" t="s">
        <v>5</v>
      </c>
    </row>
    <row r="4" spans="2:10" ht="18" x14ac:dyDescent="0.25">
      <c r="B4" s="90" t="s">
        <v>7</v>
      </c>
      <c r="D4" s="87">
        <f>Existant!G7</f>
        <v>179.40999999999997</v>
      </c>
      <c r="E4" s="143"/>
      <c r="G4" s="87">
        <f>Programme!H7</f>
        <v>435</v>
      </c>
      <c r="I4" s="106">
        <f>G4-D4</f>
        <v>255.59000000000003</v>
      </c>
      <c r="J4" s="113">
        <f>I4/D4</f>
        <v>1.4246140125968456</v>
      </c>
    </row>
    <row r="5" spans="2:10" ht="5.45" customHeight="1" x14ac:dyDescent="0.2">
      <c r="E5" s="144"/>
    </row>
    <row r="6" spans="2:10" ht="18" x14ac:dyDescent="0.25">
      <c r="B6" s="91" t="s">
        <v>416</v>
      </c>
      <c r="D6" s="87">
        <f>Existant!G17</f>
        <v>383</v>
      </c>
      <c r="E6" s="143"/>
      <c r="G6" s="87">
        <f>Programme!H16</f>
        <v>395.85</v>
      </c>
      <c r="I6" s="106">
        <f>G6-D6</f>
        <v>12.850000000000023</v>
      </c>
      <c r="J6" s="113">
        <f>I6/D6</f>
        <v>3.3550913838120165E-2</v>
      </c>
    </row>
    <row r="7" spans="2:10" ht="5.45" customHeight="1" x14ac:dyDescent="0.2">
      <c r="E7" s="144"/>
    </row>
    <row r="8" spans="2:10" ht="18" x14ac:dyDescent="0.25">
      <c r="B8" s="92" t="s">
        <v>62</v>
      </c>
      <c r="D8" s="87">
        <f>Existant!G39</f>
        <v>455.72000000000008</v>
      </c>
      <c r="E8" s="143"/>
      <c r="G8" s="87">
        <f>Programme!H37</f>
        <v>516</v>
      </c>
      <c r="I8" s="106">
        <f>G8-D8</f>
        <v>60.279999999999916</v>
      </c>
      <c r="J8" s="113">
        <f>I8/D8</f>
        <v>0.13227420345826363</v>
      </c>
    </row>
    <row r="9" spans="2:10" ht="5.45" customHeight="1" x14ac:dyDescent="0.2">
      <c r="E9" s="144"/>
    </row>
    <row r="10" spans="2:10" ht="18" x14ac:dyDescent="0.25">
      <c r="B10" s="93" t="s">
        <v>534</v>
      </c>
      <c r="D10" s="87">
        <f>Existant!G67-E10</f>
        <v>1997.7199999999998</v>
      </c>
      <c r="E10" s="143">
        <v>49.7</v>
      </c>
      <c r="G10" s="87">
        <f>Programme!H52</f>
        <v>4020</v>
      </c>
      <c r="I10" s="106">
        <f>G10-D10</f>
        <v>2022.2800000000002</v>
      </c>
      <c r="J10" s="113">
        <f>I10/D10</f>
        <v>1.0122940151773023</v>
      </c>
    </row>
    <row r="11" spans="2:10" ht="5.45" customHeight="1" x14ac:dyDescent="0.2">
      <c r="E11" s="144"/>
    </row>
    <row r="12" spans="2:10" ht="18" x14ac:dyDescent="0.25">
      <c r="B12" s="94" t="s">
        <v>530</v>
      </c>
      <c r="D12" s="87">
        <f>Existant!G119-E12</f>
        <v>977.86</v>
      </c>
      <c r="E12" s="143">
        <v>208.41</v>
      </c>
      <c r="G12" s="87">
        <f>Programme!H68</f>
        <v>2314</v>
      </c>
      <c r="I12" s="106">
        <f>G12-D12</f>
        <v>1336.1399999999999</v>
      </c>
      <c r="J12" s="113">
        <f>I12/D12</f>
        <v>1.3663919170433394</v>
      </c>
    </row>
    <row r="13" spans="2:10" ht="5.45" customHeight="1" x14ac:dyDescent="0.2">
      <c r="E13" s="144"/>
    </row>
    <row r="14" spans="2:10" ht="18" x14ac:dyDescent="0.25">
      <c r="B14" s="95" t="s">
        <v>173</v>
      </c>
      <c r="D14" s="87">
        <f>Existant!G167</f>
        <v>144.43</v>
      </c>
      <c r="E14" s="143"/>
      <c r="G14" s="87">
        <f>Programme!H146</f>
        <v>576</v>
      </c>
      <c r="I14" s="106">
        <f>G14-D14</f>
        <v>431.57</v>
      </c>
      <c r="J14" s="113">
        <f>I14/D14</f>
        <v>2.9880911168039881</v>
      </c>
    </row>
    <row r="15" spans="2:10" ht="5.45" customHeight="1" x14ac:dyDescent="0.2">
      <c r="E15" s="144"/>
    </row>
    <row r="16" spans="2:10" ht="18" x14ac:dyDescent="0.25">
      <c r="B16" s="96" t="s">
        <v>235</v>
      </c>
      <c r="D16" s="87">
        <f>Existant!G173</f>
        <v>377.87000000000006</v>
      </c>
      <c r="E16" s="143"/>
      <c r="G16" s="87">
        <f>Programme!H168</f>
        <v>752</v>
      </c>
      <c r="I16" s="106">
        <f>G16-D16</f>
        <v>374.12999999999994</v>
      </c>
      <c r="J16" s="113">
        <f>I16/D16</f>
        <v>0.9901024161748746</v>
      </c>
    </row>
    <row r="17" spans="2:10" ht="5.45" customHeight="1" x14ac:dyDescent="0.2">
      <c r="E17" s="144"/>
    </row>
    <row r="18" spans="2:10" ht="18" x14ac:dyDescent="0.25">
      <c r="B18" s="97" t="s">
        <v>113</v>
      </c>
      <c r="D18" s="87">
        <f>Existant!G195+Existant!G223-E18</f>
        <v>283.68</v>
      </c>
      <c r="E18" s="143">
        <v>442.3</v>
      </c>
      <c r="G18" s="87">
        <f>Programme!H203</f>
        <v>721.4</v>
      </c>
      <c r="I18" s="106">
        <f>G18-D18</f>
        <v>437.71999999999997</v>
      </c>
      <c r="J18" s="113">
        <f>I18/D18</f>
        <v>1.5430062041737167</v>
      </c>
    </row>
    <row r="19" spans="2:10" ht="13.5" thickBot="1" x14ac:dyDescent="0.25"/>
    <row r="20" spans="2:10" ht="18.75" thickBot="1" x14ac:dyDescent="0.3">
      <c r="B20" s="88" t="s">
        <v>633</v>
      </c>
      <c r="D20" s="89">
        <f>SUM(D4:D18)</f>
        <v>4799.6900000000005</v>
      </c>
      <c r="E20" s="5"/>
      <c r="G20" s="89">
        <f>SUM(G4:G18)</f>
        <v>9730.25</v>
      </c>
      <c r="I20" s="107">
        <f>G20-D20</f>
        <v>4930.5599999999995</v>
      </c>
      <c r="J20" s="113">
        <f>I20/D20</f>
        <v>1.0272663442847347</v>
      </c>
    </row>
    <row r="21" spans="2:10" ht="13.5" thickBot="1" x14ac:dyDescent="0.25"/>
    <row r="22" spans="2:10" ht="16.5" thickBot="1" x14ac:dyDescent="0.3">
      <c r="B22" s="120" t="s">
        <v>620</v>
      </c>
      <c r="D22" s="89">
        <f>D20*1.3</f>
        <v>6239.5970000000007</v>
      </c>
      <c r="E22" s="5"/>
      <c r="G22" s="89">
        <f>G20*1.3</f>
        <v>12649.325000000001</v>
      </c>
    </row>
    <row r="23" spans="2:10" ht="8.1" customHeight="1" thickBot="1" x14ac:dyDescent="0.3">
      <c r="B23" s="120"/>
      <c r="D23" s="5"/>
      <c r="E23" s="5"/>
      <c r="G23" s="5"/>
    </row>
    <row r="24" spans="2:10" ht="16.5" thickBot="1" x14ac:dyDescent="0.3">
      <c r="B24" s="120" t="s">
        <v>621</v>
      </c>
      <c r="D24" s="89">
        <f>D22*1.1</f>
        <v>6863.556700000001</v>
      </c>
      <c r="E24" s="5"/>
      <c r="G24" s="89">
        <f>G22*1.1</f>
        <v>13914.257500000002</v>
      </c>
    </row>
    <row r="25" spans="2:10" x14ac:dyDescent="0.2">
      <c r="G25" s="6"/>
    </row>
    <row r="26" spans="2:10" x14ac:dyDescent="0.2">
      <c r="G26" s="6"/>
    </row>
    <row r="27" spans="2:10" x14ac:dyDescent="0.2">
      <c r="D27" s="6"/>
      <c r="E27" s="6"/>
    </row>
    <row r="31" spans="2:10" x14ac:dyDescent="0.2">
      <c r="G31" s="6"/>
    </row>
  </sheetData>
  <mergeCells count="1">
    <mergeCell ref="D2:E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B5B51-EAFE-452F-AD2E-BE703115D313}">
  <sheetPr>
    <tabColor rgb="FF92D050"/>
    <pageSetUpPr fitToPage="1"/>
  </sheetPr>
  <dimension ref="A1:AC201"/>
  <sheetViews>
    <sheetView tabSelected="1" topLeftCell="B169" zoomScale="110" zoomScaleNormal="110" workbookViewId="0">
      <selection activeCell="AC179" sqref="AC179"/>
    </sheetView>
  </sheetViews>
  <sheetFormatPr baseColWidth="10" defaultRowHeight="12.75" x14ac:dyDescent="0.2"/>
  <cols>
    <col min="1" max="1" width="4.140625" customWidth="1"/>
    <col min="2" max="2" width="11.140625" customWidth="1"/>
    <col min="3" max="3" width="39.5703125" style="446" customWidth="1"/>
    <col min="4" max="4" width="4.85546875" style="69" bestFit="1" customWidth="1"/>
    <col min="5" max="5" width="28" style="454" customWidth="1"/>
    <col min="6" max="6" width="3.85546875" style="69" customWidth="1"/>
    <col min="7" max="7" width="6.42578125" style="11" hidden="1" customWidth="1"/>
    <col min="8" max="8" width="10.85546875" style="6" hidden="1" customWidth="1"/>
    <col min="9" max="9" width="16.140625" style="6" hidden="1" customWidth="1"/>
    <col min="10" max="10" width="6.42578125" style="11" hidden="1" customWidth="1"/>
    <col min="11" max="11" width="11.42578125" style="6" hidden="1" customWidth="1"/>
    <col min="12" max="12" width="16.140625" style="6" hidden="1" customWidth="1"/>
    <col min="13" max="13" width="2" hidden="1" customWidth="1"/>
    <col min="14" max="14" width="10.85546875" hidden="1" customWidth="1"/>
    <col min="15" max="15" width="11" hidden="1" customWidth="1"/>
    <col min="16" max="16" width="12.28515625" hidden="1" customWidth="1"/>
    <col min="17" max="17" width="1.7109375" hidden="1" customWidth="1"/>
    <col min="18" max="19" width="11.42578125" customWidth="1"/>
    <col min="20" max="20" width="12.28515625" customWidth="1"/>
    <col min="21" max="21" width="3" customWidth="1"/>
    <col min="23" max="23" width="11.7109375" bestFit="1" customWidth="1"/>
    <col min="24" max="24" width="14.7109375" bestFit="1" customWidth="1"/>
  </cols>
  <sheetData>
    <row r="1" spans="1:24" ht="16.5" thickBot="1" x14ac:dyDescent="0.3">
      <c r="B1" s="2" t="s">
        <v>0</v>
      </c>
      <c r="C1" s="443"/>
      <c r="D1" s="66"/>
      <c r="E1" s="451"/>
      <c r="F1" s="66"/>
      <c r="G1" s="9"/>
      <c r="H1" s="5"/>
      <c r="I1" s="5"/>
      <c r="J1" s="9"/>
      <c r="K1" s="5"/>
      <c r="L1" s="5"/>
    </row>
    <row r="2" spans="1:24" ht="25.5" x14ac:dyDescent="0.35">
      <c r="A2" t="s">
        <v>809</v>
      </c>
      <c r="B2" s="1"/>
      <c r="C2" s="444"/>
      <c r="D2" s="67"/>
      <c r="E2" s="452"/>
      <c r="F2" s="67"/>
      <c r="G2" s="557" t="s">
        <v>872</v>
      </c>
      <c r="H2" s="558"/>
      <c r="I2" s="559"/>
      <c r="J2" s="552" t="s">
        <v>882</v>
      </c>
      <c r="K2" s="553"/>
      <c r="L2" s="553"/>
      <c r="N2" s="555" t="s">
        <v>883</v>
      </c>
      <c r="O2" s="556"/>
      <c r="P2" s="556"/>
      <c r="R2" s="552" t="s">
        <v>885</v>
      </c>
      <c r="S2" s="553"/>
      <c r="T2" s="553"/>
      <c r="V2" s="557" t="s">
        <v>886</v>
      </c>
      <c r="W2" s="558"/>
      <c r="X2" s="559"/>
    </row>
    <row r="3" spans="1:24" ht="15.75" thickBot="1" x14ac:dyDescent="0.25">
      <c r="A3" t="s">
        <v>809</v>
      </c>
      <c r="B3" s="3" t="s">
        <v>1</v>
      </c>
      <c r="C3" s="445" t="s">
        <v>2</v>
      </c>
      <c r="D3" s="68"/>
      <c r="E3" s="453"/>
      <c r="F3" s="345"/>
      <c r="G3" s="335" t="s">
        <v>3</v>
      </c>
      <c r="H3" s="336" t="s">
        <v>4</v>
      </c>
      <c r="I3" s="337" t="s">
        <v>5</v>
      </c>
      <c r="J3" s="10" t="s">
        <v>3</v>
      </c>
      <c r="K3" s="7" t="s">
        <v>4</v>
      </c>
      <c r="L3" s="7" t="s">
        <v>5</v>
      </c>
      <c r="N3" s="269" t="s">
        <v>3</v>
      </c>
      <c r="O3" s="270" t="s">
        <v>4</v>
      </c>
      <c r="P3" s="270" t="s">
        <v>5</v>
      </c>
      <c r="R3" s="10" t="s">
        <v>3</v>
      </c>
      <c r="S3" s="7" t="s">
        <v>4</v>
      </c>
      <c r="T3" s="7" t="s">
        <v>5</v>
      </c>
      <c r="V3" s="335" t="s">
        <v>3</v>
      </c>
      <c r="W3" s="336" t="s">
        <v>4</v>
      </c>
      <c r="X3" s="337" t="s">
        <v>5</v>
      </c>
    </row>
    <row r="4" spans="1:24" ht="3" customHeight="1" x14ac:dyDescent="0.2">
      <c r="N4" s="271"/>
      <c r="O4" s="272"/>
      <c r="P4" s="272"/>
      <c r="R4" s="11"/>
      <c r="S4" s="6"/>
      <c r="T4" s="6"/>
      <c r="V4" s="11"/>
      <c r="W4" s="6"/>
      <c r="X4" s="6"/>
    </row>
    <row r="5" spans="1:24" ht="20.25" x14ac:dyDescent="0.3">
      <c r="A5" t="s">
        <v>809</v>
      </c>
      <c r="B5" s="340" t="s">
        <v>6</v>
      </c>
      <c r="C5" s="447"/>
      <c r="D5" s="340"/>
      <c r="E5" s="447"/>
      <c r="F5" s="346"/>
      <c r="G5" s="340"/>
      <c r="H5" s="340"/>
      <c r="I5" s="8">
        <f>I7+I16+I24+I33+I91+I98+I131+I167</f>
        <v>4532.6000000000004</v>
      </c>
      <c r="J5" s="228"/>
      <c r="K5" s="228"/>
      <c r="L5" s="8">
        <f>L7+L16+L24+L33+L91+L98+L131+L167</f>
        <v>4628.13</v>
      </c>
      <c r="N5" s="248"/>
      <c r="O5" s="248"/>
      <c r="P5" s="273">
        <f>P7+P16+P24+P33+P91+P98+P131+P167</f>
        <v>4759.7999999999993</v>
      </c>
      <c r="R5" s="228"/>
      <c r="S5" s="228"/>
      <c r="T5" s="8">
        <f>T7+T16+T24+T33+T91+T98+T131+T167</f>
        <v>4775.7999999999993</v>
      </c>
      <c r="V5" s="228"/>
      <c r="W5" s="228"/>
      <c r="X5" s="322">
        <f>X7+X16+X24+X33+X91+X98+X131+X167</f>
        <v>4832.7</v>
      </c>
    </row>
    <row r="6" spans="1:24" ht="3.6" customHeight="1" x14ac:dyDescent="0.2">
      <c r="J6" s="211"/>
      <c r="N6" s="211"/>
      <c r="O6" s="6"/>
      <c r="P6" s="6"/>
      <c r="R6" s="211"/>
      <c r="S6" s="6"/>
      <c r="T6" s="6"/>
      <c r="V6" s="211"/>
      <c r="W6" s="6"/>
      <c r="X6" s="6"/>
    </row>
    <row r="7" spans="1:24" ht="18" x14ac:dyDescent="0.25">
      <c r="A7" t="s">
        <v>809</v>
      </c>
      <c r="B7" s="569" t="s">
        <v>7</v>
      </c>
      <c r="C7" s="570"/>
      <c r="D7" s="570"/>
      <c r="E7" s="571"/>
      <c r="F7" s="347"/>
      <c r="G7" s="338"/>
      <c r="H7" s="339"/>
      <c r="I7" s="29">
        <f>I8+I11</f>
        <v>245</v>
      </c>
      <c r="J7" s="230"/>
      <c r="K7" s="229"/>
      <c r="L7" s="29">
        <f>L8+L11</f>
        <v>294.28999999999996</v>
      </c>
      <c r="N7" s="230"/>
      <c r="O7" s="229"/>
      <c r="P7" s="29">
        <f>P8+P11</f>
        <v>296</v>
      </c>
      <c r="R7" s="230"/>
      <c r="S7" s="229"/>
      <c r="T7" s="29">
        <f>T8+T11</f>
        <v>290</v>
      </c>
      <c r="V7" s="230"/>
      <c r="W7" s="229"/>
      <c r="X7" s="331">
        <f>X8+X11</f>
        <v>283.2</v>
      </c>
    </row>
    <row r="8" spans="1:24" s="4" customFormat="1" x14ac:dyDescent="0.2">
      <c r="A8" s="4" t="s">
        <v>809</v>
      </c>
      <c r="B8" s="24"/>
      <c r="C8" s="34" t="s">
        <v>8</v>
      </c>
      <c r="D8" s="70"/>
      <c r="E8" s="363"/>
      <c r="F8" s="348"/>
      <c r="G8" s="364"/>
      <c r="H8" s="365"/>
      <c r="I8" s="27">
        <f>SUM(I9:I10)</f>
        <v>145</v>
      </c>
      <c r="J8" s="25"/>
      <c r="K8" s="26"/>
      <c r="L8" s="27">
        <f>SUM(L9:L10)</f>
        <v>188.5</v>
      </c>
      <c r="N8" s="25"/>
      <c r="O8" s="26"/>
      <c r="P8" s="27">
        <f>SUM(P9:P10)</f>
        <v>187</v>
      </c>
      <c r="R8" s="364"/>
      <c r="S8" s="26"/>
      <c r="T8" s="27">
        <f>SUM(T9:T10)</f>
        <v>187</v>
      </c>
      <c r="V8" s="364"/>
      <c r="W8" s="26"/>
      <c r="X8" s="287">
        <f>SUM(X9:X10)</f>
        <v>183</v>
      </c>
    </row>
    <row r="9" spans="1:24" ht="26.1" customHeight="1" x14ac:dyDescent="0.2">
      <c r="B9" s="280" t="s">
        <v>648</v>
      </c>
      <c r="C9" s="388" t="s">
        <v>824</v>
      </c>
      <c r="D9" s="389"/>
      <c r="E9" s="390" t="s">
        <v>852</v>
      </c>
      <c r="F9" s="349"/>
      <c r="G9" s="366">
        <v>1</v>
      </c>
      <c r="H9" s="367">
        <v>135</v>
      </c>
      <c r="I9" s="367">
        <f>G9*H9</f>
        <v>135</v>
      </c>
      <c r="J9" s="81">
        <v>1</v>
      </c>
      <c r="K9" s="82">
        <v>176.4</v>
      </c>
      <c r="L9" s="82">
        <f>J9*K9</f>
        <v>176.4</v>
      </c>
      <c r="N9" s="81">
        <v>1</v>
      </c>
      <c r="O9" s="82">
        <v>177</v>
      </c>
      <c r="P9" s="82">
        <f>N9*O9</f>
        <v>177</v>
      </c>
      <c r="R9" s="81">
        <v>1</v>
      </c>
      <c r="S9" s="82">
        <v>177</v>
      </c>
      <c r="T9" s="82">
        <f>R9*S9</f>
        <v>177</v>
      </c>
      <c r="V9" s="366">
        <v>1</v>
      </c>
      <c r="W9" s="394">
        <v>153</v>
      </c>
      <c r="X9" s="394">
        <f>V9*W9</f>
        <v>153</v>
      </c>
    </row>
    <row r="10" spans="1:24" x14ac:dyDescent="0.2">
      <c r="B10" s="412" t="s">
        <v>649</v>
      </c>
      <c r="C10" s="386" t="s">
        <v>826</v>
      </c>
      <c r="D10" s="387"/>
      <c r="E10" s="455"/>
      <c r="F10" s="350"/>
      <c r="G10" s="391">
        <v>1</v>
      </c>
      <c r="H10" s="392">
        <v>10</v>
      </c>
      <c r="I10" s="392">
        <f t="shared" ref="I10" si="0">G10*H10</f>
        <v>10</v>
      </c>
      <c r="J10" s="81">
        <v>1</v>
      </c>
      <c r="K10" s="82">
        <v>12.1</v>
      </c>
      <c r="L10" s="82">
        <f t="shared" ref="L10" si="1">J10*K10</f>
        <v>12.1</v>
      </c>
      <c r="N10" s="81">
        <v>1</v>
      </c>
      <c r="O10" s="82">
        <v>10</v>
      </c>
      <c r="P10" s="82">
        <f t="shared" ref="P10" si="2">N10*O10</f>
        <v>10</v>
      </c>
      <c r="R10" s="81">
        <v>1</v>
      </c>
      <c r="S10" s="82">
        <v>10</v>
      </c>
      <c r="T10" s="82">
        <f t="shared" ref="T10" si="3">R10*S10</f>
        <v>10</v>
      </c>
      <c r="V10" s="391">
        <v>1</v>
      </c>
      <c r="W10" s="393">
        <v>30</v>
      </c>
      <c r="X10" s="393">
        <f t="shared" ref="X10" si="4">V10*W10</f>
        <v>30</v>
      </c>
    </row>
    <row r="11" spans="1:24" s="4" customFormat="1" x14ac:dyDescent="0.2">
      <c r="A11" s="4" t="s">
        <v>809</v>
      </c>
      <c r="B11" s="24"/>
      <c r="C11" s="34" t="s">
        <v>415</v>
      </c>
      <c r="D11" s="70"/>
      <c r="E11" s="363"/>
      <c r="F11" s="348"/>
      <c r="G11" s="574"/>
      <c r="H11" s="575"/>
      <c r="I11" s="27">
        <f>SUM(I12:I13)</f>
        <v>100</v>
      </c>
      <c r="J11" s="25"/>
      <c r="K11" s="26"/>
      <c r="L11" s="27">
        <f>SUM(L12:L13)</f>
        <v>105.78999999999999</v>
      </c>
      <c r="N11" s="25"/>
      <c r="O11" s="26"/>
      <c r="P11" s="27">
        <f>SUM(P12:P13)</f>
        <v>109</v>
      </c>
      <c r="R11" s="364"/>
      <c r="S11" s="26"/>
      <c r="T11" s="27">
        <f>SUM(T12:T13)</f>
        <v>103</v>
      </c>
      <c r="V11" s="364"/>
      <c r="W11" s="286"/>
      <c r="X11" s="287">
        <f>SUM(X12:X13)</f>
        <v>100.19999999999999</v>
      </c>
    </row>
    <row r="12" spans="1:24" x14ac:dyDescent="0.2">
      <c r="B12" s="280" t="s">
        <v>650</v>
      </c>
      <c r="C12" s="276" t="s">
        <v>561</v>
      </c>
      <c r="D12" s="278"/>
      <c r="E12" s="275"/>
      <c r="F12" s="350"/>
      <c r="G12" s="366">
        <v>1</v>
      </c>
      <c r="H12" s="367">
        <v>40</v>
      </c>
      <c r="I12" s="367">
        <f>G12*H12</f>
        <v>40</v>
      </c>
      <c r="J12" s="81">
        <v>1</v>
      </c>
      <c r="K12" s="82">
        <v>40</v>
      </c>
      <c r="L12" s="82">
        <f>J12*K12</f>
        <v>40</v>
      </c>
      <c r="N12" s="81">
        <v>1</v>
      </c>
      <c r="O12" s="82">
        <v>40</v>
      </c>
      <c r="P12" s="82">
        <f>N12*O12</f>
        <v>40</v>
      </c>
      <c r="R12" s="366">
        <v>1</v>
      </c>
      <c r="S12" s="367">
        <v>38</v>
      </c>
      <c r="T12" s="367">
        <v>40</v>
      </c>
      <c r="V12" s="282">
        <v>1</v>
      </c>
      <c r="W12" s="288">
        <v>38</v>
      </c>
      <c r="X12" s="289">
        <f>V12*W12</f>
        <v>38</v>
      </c>
    </row>
    <row r="13" spans="1:24" ht="42" customHeight="1" x14ac:dyDescent="0.2">
      <c r="B13" s="172" t="s">
        <v>651</v>
      </c>
      <c r="C13" s="199" t="s">
        <v>584</v>
      </c>
      <c r="D13" s="72"/>
      <c r="E13" s="560" t="s">
        <v>612</v>
      </c>
      <c r="F13" s="343"/>
      <c r="G13" s="563">
        <v>4</v>
      </c>
      <c r="H13" s="565">
        <f>10*1.5</f>
        <v>15</v>
      </c>
      <c r="I13" s="567">
        <f>G13*H13</f>
        <v>60</v>
      </c>
      <c r="J13" s="81">
        <v>3</v>
      </c>
      <c r="K13" s="82">
        <v>21.93</v>
      </c>
      <c r="L13" s="82">
        <f>J13*K13</f>
        <v>65.789999999999992</v>
      </c>
      <c r="N13" s="81">
        <v>3</v>
      </c>
      <c r="O13" s="82">
        <f>27+42</f>
        <v>69</v>
      </c>
      <c r="P13" s="82">
        <f>O13</f>
        <v>69</v>
      </c>
      <c r="Q13" s="214"/>
      <c r="R13" s="391">
        <v>3</v>
      </c>
      <c r="S13" s="392">
        <f>25+38</f>
        <v>63</v>
      </c>
      <c r="T13" s="392">
        <f>S13</f>
        <v>63</v>
      </c>
      <c r="V13" s="368">
        <v>2</v>
      </c>
      <c r="W13" s="516">
        <f>AVERAGE(W14:W15)</f>
        <v>31.099999999999998</v>
      </c>
      <c r="X13" s="420">
        <f>W14+W15</f>
        <v>62.199999999999996</v>
      </c>
    </row>
    <row r="14" spans="1:24" ht="12.75" customHeight="1" x14ac:dyDescent="0.2">
      <c r="B14" s="127" t="s">
        <v>887</v>
      </c>
      <c r="C14" s="121"/>
      <c r="D14" s="71"/>
      <c r="E14" s="561"/>
      <c r="F14" s="343"/>
      <c r="G14" s="563"/>
      <c r="H14" s="565"/>
      <c r="I14" s="567"/>
      <c r="J14" s="81">
        <v>3</v>
      </c>
      <c r="K14" s="82">
        <v>21.93</v>
      </c>
      <c r="L14" s="82">
        <f>J14*K14</f>
        <v>65.789999999999992</v>
      </c>
      <c r="N14" s="81"/>
      <c r="O14" s="82"/>
      <c r="P14" s="82"/>
      <c r="Q14" s="214"/>
      <c r="R14" s="81"/>
      <c r="S14" s="82"/>
      <c r="T14" s="82"/>
      <c r="V14" s="81">
        <v>1</v>
      </c>
      <c r="W14" s="290">
        <v>36.799999999999997</v>
      </c>
      <c r="X14" s="285"/>
    </row>
    <row r="15" spans="1:24" ht="12.75" customHeight="1" x14ac:dyDescent="0.2">
      <c r="B15" s="174" t="s">
        <v>888</v>
      </c>
      <c r="C15" s="281"/>
      <c r="D15" s="221"/>
      <c r="E15" s="562"/>
      <c r="F15" s="343"/>
      <c r="G15" s="564"/>
      <c r="H15" s="566"/>
      <c r="I15" s="568"/>
      <c r="J15" s="251"/>
      <c r="K15" s="253"/>
      <c r="L15" s="274"/>
      <c r="N15" s="251"/>
      <c r="O15" s="253"/>
      <c r="P15" s="274"/>
      <c r="Q15" s="214"/>
      <c r="R15" s="251"/>
      <c r="S15" s="62"/>
      <c r="T15" s="274"/>
      <c r="V15" s="277">
        <v>1</v>
      </c>
      <c r="W15" s="291">
        <v>25.4</v>
      </c>
      <c r="X15" s="285"/>
    </row>
    <row r="16" spans="1:24" ht="18" x14ac:dyDescent="0.25">
      <c r="A16" t="s">
        <v>809</v>
      </c>
      <c r="B16" s="535" t="s">
        <v>871</v>
      </c>
      <c r="C16" s="536"/>
      <c r="D16" s="536"/>
      <c r="E16" s="594"/>
      <c r="F16" s="343"/>
      <c r="G16" s="65"/>
      <c r="H16" s="65"/>
      <c r="I16" s="28">
        <f>I17</f>
        <v>126</v>
      </c>
      <c r="J16" s="65"/>
      <c r="K16" s="65"/>
      <c r="L16" s="28">
        <f>L17</f>
        <v>126.5</v>
      </c>
      <c r="N16" s="65"/>
      <c r="O16" s="65"/>
      <c r="P16" s="28">
        <f>P17</f>
        <v>115</v>
      </c>
      <c r="R16" s="65"/>
      <c r="S16" s="266"/>
      <c r="T16" s="28">
        <f>T17</f>
        <v>115</v>
      </c>
      <c r="V16" s="64"/>
      <c r="W16" s="293"/>
      <c r="X16" s="294">
        <f>X17</f>
        <v>134.4</v>
      </c>
    </row>
    <row r="17" spans="1:24" s="4" customFormat="1" x14ac:dyDescent="0.2">
      <c r="A17" s="4" t="s">
        <v>809</v>
      </c>
      <c r="B17" s="24"/>
      <c r="C17" s="34" t="s">
        <v>55</v>
      </c>
      <c r="D17" s="70"/>
      <c r="E17" s="363"/>
      <c r="F17" s="343"/>
      <c r="G17" s="25"/>
      <c r="H17" s="26"/>
      <c r="I17" s="27">
        <f>SUM(I18:I23)</f>
        <v>126</v>
      </c>
      <c r="J17" s="25"/>
      <c r="K17" s="26"/>
      <c r="L17" s="27">
        <f>SUM(L18:L23)</f>
        <v>126.5</v>
      </c>
      <c r="N17" s="25"/>
      <c r="O17" s="26"/>
      <c r="P17" s="27">
        <f>SUM(P18:P23)</f>
        <v>115</v>
      </c>
      <c r="R17" s="25"/>
      <c r="S17" s="26"/>
      <c r="T17" s="27">
        <f>SUM(T18:T23)</f>
        <v>115</v>
      </c>
      <c r="V17" s="364"/>
      <c r="W17" s="286"/>
      <c r="X17" s="287">
        <f>SUM(X18:X23)</f>
        <v>134.4</v>
      </c>
    </row>
    <row r="18" spans="1:24" x14ac:dyDescent="0.2">
      <c r="B18" s="127" t="s">
        <v>652</v>
      </c>
      <c r="C18" s="183" t="s">
        <v>585</v>
      </c>
      <c r="D18" s="395">
        <v>1</v>
      </c>
      <c r="E18" s="395"/>
      <c r="F18" s="343"/>
      <c r="G18" s="154">
        <v>1</v>
      </c>
      <c r="H18" s="231">
        <v>18</v>
      </c>
      <c r="I18" s="231">
        <f t="shared" ref="I18:I23" si="5">G18*H18</f>
        <v>18</v>
      </c>
      <c r="J18" s="81">
        <v>1</v>
      </c>
      <c r="K18" s="63">
        <v>18</v>
      </c>
      <c r="L18" s="82">
        <f>J18*K18</f>
        <v>18</v>
      </c>
      <c r="N18" s="81">
        <v>1</v>
      </c>
      <c r="O18" s="63">
        <v>18</v>
      </c>
      <c r="P18" s="82">
        <f>N18*O18</f>
        <v>18</v>
      </c>
      <c r="R18" s="81">
        <v>1</v>
      </c>
      <c r="S18" s="63">
        <v>18</v>
      </c>
      <c r="T18" s="82">
        <f>R18*S18</f>
        <v>18</v>
      </c>
      <c r="V18" s="154">
        <v>1</v>
      </c>
      <c r="W18" s="289">
        <v>18.600000000000001</v>
      </c>
      <c r="X18" s="289">
        <f>V18*W18</f>
        <v>18.600000000000001</v>
      </c>
    </row>
    <row r="19" spans="1:24" x14ac:dyDescent="0.2">
      <c r="B19" s="127" t="s">
        <v>653</v>
      </c>
      <c r="C19" s="397" t="s">
        <v>53</v>
      </c>
      <c r="D19" s="398">
        <v>1</v>
      </c>
      <c r="E19" s="398"/>
      <c r="F19" s="343"/>
      <c r="G19" s="366">
        <v>1</v>
      </c>
      <c r="H19" s="367">
        <v>12</v>
      </c>
      <c r="I19" s="367">
        <f t="shared" si="5"/>
        <v>12</v>
      </c>
      <c r="J19" s="81">
        <v>1</v>
      </c>
      <c r="K19" s="63">
        <v>12</v>
      </c>
      <c r="L19" s="82">
        <f t="shared" ref="L19:L23" si="6">J19*K19</f>
        <v>12</v>
      </c>
      <c r="N19" s="81">
        <v>1</v>
      </c>
      <c r="O19" s="63">
        <v>12</v>
      </c>
      <c r="P19" s="82">
        <f t="shared" ref="P19:P23" si="7">N19*O19</f>
        <v>12</v>
      </c>
      <c r="R19" s="81">
        <v>1</v>
      </c>
      <c r="S19" s="63">
        <v>12</v>
      </c>
      <c r="T19" s="82">
        <f t="shared" ref="T19:T23" si="8">R19*S19</f>
        <v>12</v>
      </c>
      <c r="V19" s="366">
        <v>1</v>
      </c>
      <c r="W19" s="394">
        <v>11.3</v>
      </c>
      <c r="X19" s="394">
        <f t="shared" ref="X19:X23" si="9">V19*W19</f>
        <v>11.3</v>
      </c>
    </row>
    <row r="20" spans="1:24" x14ac:dyDescent="0.2">
      <c r="B20" s="127" t="s">
        <v>655</v>
      </c>
      <c r="C20" s="402" t="s">
        <v>823</v>
      </c>
      <c r="D20" s="403">
        <v>1</v>
      </c>
      <c r="E20" s="403"/>
      <c r="F20" s="343"/>
      <c r="G20" s="366">
        <v>1</v>
      </c>
      <c r="H20" s="367">
        <v>12</v>
      </c>
      <c r="I20" s="367">
        <f t="shared" si="5"/>
        <v>12</v>
      </c>
      <c r="J20" s="81">
        <v>1</v>
      </c>
      <c r="K20" s="63">
        <v>12</v>
      </c>
      <c r="L20" s="82">
        <f t="shared" si="6"/>
        <v>12</v>
      </c>
      <c r="N20" s="81">
        <v>1</v>
      </c>
      <c r="O20" s="63">
        <v>12</v>
      </c>
      <c r="P20" s="82">
        <f t="shared" si="7"/>
        <v>12</v>
      </c>
      <c r="R20" s="81">
        <v>1</v>
      </c>
      <c r="S20" s="63">
        <v>12</v>
      </c>
      <c r="T20" s="82">
        <f t="shared" si="8"/>
        <v>12</v>
      </c>
      <c r="V20" s="366">
        <v>1</v>
      </c>
      <c r="W20" s="394">
        <v>11.3</v>
      </c>
      <c r="X20" s="394">
        <f t="shared" si="9"/>
        <v>11.3</v>
      </c>
    </row>
    <row r="21" spans="1:24" x14ac:dyDescent="0.2">
      <c r="B21" s="127" t="s">
        <v>654</v>
      </c>
      <c r="C21" s="402" t="s">
        <v>831</v>
      </c>
      <c r="D21" s="403">
        <v>8</v>
      </c>
      <c r="E21" s="403"/>
      <c r="F21" s="343"/>
      <c r="G21" s="366">
        <v>1</v>
      </c>
      <c r="H21" s="367">
        <f>8*8</f>
        <v>64</v>
      </c>
      <c r="I21" s="367">
        <f t="shared" si="5"/>
        <v>64</v>
      </c>
      <c r="J21" s="81">
        <v>1</v>
      </c>
      <c r="K21" s="63">
        <v>63.9</v>
      </c>
      <c r="L21" s="82">
        <f t="shared" si="6"/>
        <v>63.9</v>
      </c>
      <c r="N21" s="81">
        <v>1</v>
      </c>
      <c r="O21" s="63">
        <v>58</v>
      </c>
      <c r="P21" s="82">
        <f t="shared" si="7"/>
        <v>58</v>
      </c>
      <c r="R21" s="81">
        <v>1</v>
      </c>
      <c r="S21" s="63">
        <v>58</v>
      </c>
      <c r="T21" s="82">
        <f t="shared" si="8"/>
        <v>58</v>
      </c>
      <c r="V21" s="366">
        <v>1</v>
      </c>
      <c r="W21" s="394">
        <v>75.8</v>
      </c>
      <c r="X21" s="394">
        <f t="shared" si="9"/>
        <v>75.8</v>
      </c>
    </row>
    <row r="22" spans="1:24" x14ac:dyDescent="0.2">
      <c r="B22" s="127" t="s">
        <v>656</v>
      </c>
      <c r="C22" s="399" t="s">
        <v>586</v>
      </c>
      <c r="D22" s="400">
        <v>6</v>
      </c>
      <c r="E22" s="456" t="s">
        <v>587</v>
      </c>
      <c r="F22" s="343"/>
      <c r="G22" s="366">
        <v>1</v>
      </c>
      <c r="H22" s="367">
        <f>6*2</f>
        <v>12</v>
      </c>
      <c r="I22" s="367">
        <f t="shared" si="5"/>
        <v>12</v>
      </c>
      <c r="J22" s="81">
        <v>1</v>
      </c>
      <c r="K22" s="63">
        <v>13</v>
      </c>
      <c r="L22" s="82">
        <f t="shared" si="6"/>
        <v>13</v>
      </c>
      <c r="N22" s="81">
        <v>1</v>
      </c>
      <c r="O22" s="63">
        <v>8</v>
      </c>
      <c r="P22" s="82">
        <f t="shared" si="7"/>
        <v>8</v>
      </c>
      <c r="R22" s="81">
        <v>1</v>
      </c>
      <c r="S22" s="63">
        <v>8</v>
      </c>
      <c r="T22" s="82">
        <f t="shared" si="8"/>
        <v>8</v>
      </c>
      <c r="V22" s="366">
        <v>1</v>
      </c>
      <c r="W22" s="394">
        <v>9.1</v>
      </c>
      <c r="X22" s="394">
        <f t="shared" si="9"/>
        <v>9.1</v>
      </c>
    </row>
    <row r="23" spans="1:24" x14ac:dyDescent="0.2">
      <c r="B23" s="127" t="s">
        <v>657</v>
      </c>
      <c r="C23" s="448" t="s">
        <v>541</v>
      </c>
      <c r="D23" s="76"/>
      <c r="E23" s="457" t="s">
        <v>545</v>
      </c>
      <c r="F23" s="343"/>
      <c r="G23" s="53">
        <v>1</v>
      </c>
      <c r="H23" s="55">
        <v>8</v>
      </c>
      <c r="I23" s="55">
        <f t="shared" si="5"/>
        <v>8</v>
      </c>
      <c r="J23" s="47">
        <v>1</v>
      </c>
      <c r="K23" s="49">
        <v>7.6</v>
      </c>
      <c r="L23" s="257">
        <f t="shared" si="6"/>
        <v>7.6</v>
      </c>
      <c r="N23" s="47">
        <v>1</v>
      </c>
      <c r="O23" s="49">
        <v>7</v>
      </c>
      <c r="P23" s="257">
        <f t="shared" si="7"/>
        <v>7</v>
      </c>
      <c r="R23" s="47">
        <v>1</v>
      </c>
      <c r="S23" s="49">
        <v>7</v>
      </c>
      <c r="T23" s="257">
        <f t="shared" si="8"/>
        <v>7</v>
      </c>
      <c r="V23" s="406">
        <v>1</v>
      </c>
      <c r="W23" s="407">
        <v>8.3000000000000007</v>
      </c>
      <c r="X23" s="408">
        <f t="shared" si="9"/>
        <v>8.3000000000000007</v>
      </c>
    </row>
    <row r="24" spans="1:24" ht="18" x14ac:dyDescent="0.25">
      <c r="A24" t="s">
        <v>809</v>
      </c>
      <c r="B24" s="537" t="s">
        <v>891</v>
      </c>
      <c r="C24" s="538"/>
      <c r="D24" s="538"/>
      <c r="E24" s="593"/>
      <c r="F24" s="347"/>
      <c r="G24" s="341"/>
      <c r="H24" s="342"/>
      <c r="I24" s="40">
        <f>I25+I31</f>
        <v>188</v>
      </c>
      <c r="J24" s="232"/>
      <c r="K24" s="233"/>
      <c r="L24" s="40">
        <f>L25+L31</f>
        <v>195.3</v>
      </c>
      <c r="N24" s="232"/>
      <c r="O24" s="233"/>
      <c r="P24" s="40">
        <f>P25+P31</f>
        <v>184</v>
      </c>
      <c r="R24" s="232"/>
      <c r="S24" s="267"/>
      <c r="T24" s="40">
        <f>T25+T31</f>
        <v>185</v>
      </c>
      <c r="V24" s="232"/>
      <c r="W24" s="295"/>
      <c r="X24" s="296">
        <f>X25+X31</f>
        <v>185.2</v>
      </c>
    </row>
    <row r="25" spans="1:24" s="4" customFormat="1" x14ac:dyDescent="0.2">
      <c r="A25" s="4" t="s">
        <v>809</v>
      </c>
      <c r="B25" s="24"/>
      <c r="C25" s="34" t="s">
        <v>112</v>
      </c>
      <c r="D25" s="70"/>
      <c r="E25" s="363"/>
      <c r="F25" s="348"/>
      <c r="G25" s="364"/>
      <c r="H25" s="365"/>
      <c r="I25" s="27">
        <f>SUM(I26:I28)</f>
        <v>68</v>
      </c>
      <c r="J25" s="25"/>
      <c r="K25" s="26"/>
      <c r="L25" s="27">
        <f>SUM(L26:L28)</f>
        <v>75.3</v>
      </c>
      <c r="N25" s="25"/>
      <c r="O25" s="26"/>
      <c r="P25" s="27">
        <f>SUM(P26:P28)</f>
        <v>78</v>
      </c>
      <c r="R25" s="364"/>
      <c r="S25" s="26"/>
      <c r="T25" s="27">
        <f>SUM(T26:T28)</f>
        <v>81</v>
      </c>
      <c r="V25" s="364"/>
      <c r="W25" s="286"/>
      <c r="X25" s="287">
        <f>SUM(X26:X28)</f>
        <v>80.599999999999994</v>
      </c>
    </row>
    <row r="26" spans="1:24" x14ac:dyDescent="0.2">
      <c r="B26" s="280" t="s">
        <v>804</v>
      </c>
      <c r="C26" s="183" t="s">
        <v>595</v>
      </c>
      <c r="D26" s="409">
        <v>1</v>
      </c>
      <c r="E26" s="409" t="s">
        <v>599</v>
      </c>
      <c r="F26" s="352"/>
      <c r="G26" s="154">
        <v>1</v>
      </c>
      <c r="H26" s="231">
        <v>12</v>
      </c>
      <c r="I26" s="231">
        <f t="shared" ref="I26:I28" si="10">G26*H26</f>
        <v>12</v>
      </c>
      <c r="J26" s="81">
        <v>1</v>
      </c>
      <c r="K26" s="63">
        <v>19.3</v>
      </c>
      <c r="L26" s="82">
        <f t="shared" ref="L26:L28" si="11">J26*K26</f>
        <v>19.3</v>
      </c>
      <c r="N26" s="81">
        <v>1</v>
      </c>
      <c r="O26" s="63">
        <v>24</v>
      </c>
      <c r="P26" s="82">
        <f t="shared" ref="P26:P28" si="12">N26*O26</f>
        <v>24</v>
      </c>
      <c r="R26" s="366">
        <v>1</v>
      </c>
      <c r="S26" s="405">
        <v>27</v>
      </c>
      <c r="T26" s="367">
        <f t="shared" ref="T26:T28" si="13">R26*S26</f>
        <v>27</v>
      </c>
      <c r="V26" s="154">
        <v>1</v>
      </c>
      <c r="W26" s="289">
        <v>26</v>
      </c>
      <c r="X26" s="289">
        <f t="shared" ref="X26:X27" si="14">V26*W26</f>
        <v>26</v>
      </c>
    </row>
    <row r="27" spans="1:24" x14ac:dyDescent="0.2">
      <c r="B27" s="172" t="s">
        <v>669</v>
      </c>
      <c r="C27" s="397" t="s">
        <v>868</v>
      </c>
      <c r="D27" s="411">
        <v>4</v>
      </c>
      <c r="E27" s="411" t="s">
        <v>867</v>
      </c>
      <c r="F27" s="352"/>
      <c r="G27" s="282">
        <v>1</v>
      </c>
      <c r="H27" s="413">
        <f t="shared" ref="H27" si="15">D27*8</f>
        <v>32</v>
      </c>
      <c r="I27" s="413">
        <f t="shared" si="10"/>
        <v>32</v>
      </c>
      <c r="J27" s="81">
        <v>1</v>
      </c>
      <c r="K27" s="63">
        <v>32</v>
      </c>
      <c r="L27" s="82">
        <f t="shared" si="11"/>
        <v>32</v>
      </c>
      <c r="N27" s="81">
        <v>1</v>
      </c>
      <c r="O27" s="63">
        <v>30</v>
      </c>
      <c r="P27" s="82">
        <f t="shared" si="12"/>
        <v>30</v>
      </c>
      <c r="R27" s="366">
        <v>1</v>
      </c>
      <c r="S27" s="405">
        <v>30</v>
      </c>
      <c r="T27" s="367">
        <f t="shared" si="13"/>
        <v>30</v>
      </c>
      <c r="V27" s="366">
        <v>1</v>
      </c>
      <c r="W27" s="394">
        <v>30.4</v>
      </c>
      <c r="X27" s="394">
        <f t="shared" si="14"/>
        <v>30.4</v>
      </c>
    </row>
    <row r="28" spans="1:24" x14ac:dyDescent="0.2">
      <c r="B28" s="415" t="s">
        <v>670</v>
      </c>
      <c r="C28" s="397" t="s">
        <v>600</v>
      </c>
      <c r="D28" s="577">
        <v>1</v>
      </c>
      <c r="E28" s="576" t="s">
        <v>603</v>
      </c>
      <c r="F28" s="352"/>
      <c r="G28" s="580">
        <v>2</v>
      </c>
      <c r="H28" s="583">
        <v>12</v>
      </c>
      <c r="I28" s="583">
        <f t="shared" si="10"/>
        <v>24</v>
      </c>
      <c r="J28" s="81">
        <v>1</v>
      </c>
      <c r="K28" s="63">
        <v>24</v>
      </c>
      <c r="L28" s="82">
        <f t="shared" si="11"/>
        <v>24</v>
      </c>
      <c r="N28" s="81">
        <v>1</v>
      </c>
      <c r="O28" s="63">
        <v>24</v>
      </c>
      <c r="P28" s="82">
        <f t="shared" si="12"/>
        <v>24</v>
      </c>
      <c r="R28" s="391">
        <v>2</v>
      </c>
      <c r="S28" s="410">
        <v>12</v>
      </c>
      <c r="T28" s="392">
        <f t="shared" si="13"/>
        <v>24</v>
      </c>
      <c r="V28" s="419">
        <v>2</v>
      </c>
      <c r="W28" s="515">
        <f>AVERAGE(W29:W30)</f>
        <v>12.1</v>
      </c>
      <c r="X28" s="420">
        <f>SUM(W29:W30)</f>
        <v>24.2</v>
      </c>
    </row>
    <row r="29" spans="1:24" x14ac:dyDescent="0.2">
      <c r="B29" s="127" t="s">
        <v>924</v>
      </c>
      <c r="C29" s="123"/>
      <c r="D29" s="578"/>
      <c r="E29" s="576"/>
      <c r="F29" s="414"/>
      <c r="G29" s="581"/>
      <c r="H29" s="565"/>
      <c r="I29" s="565"/>
      <c r="J29" s="251"/>
      <c r="K29" s="252"/>
      <c r="L29" s="332"/>
      <c r="N29" s="251"/>
      <c r="O29" s="252"/>
      <c r="P29" s="332"/>
      <c r="R29" s="154"/>
      <c r="S29" s="63"/>
      <c r="T29" s="332"/>
      <c r="V29" s="421">
        <v>1</v>
      </c>
      <c r="W29" s="285">
        <v>12.1</v>
      </c>
      <c r="X29" s="285"/>
    </row>
    <row r="30" spans="1:24" x14ac:dyDescent="0.2">
      <c r="B30" s="416" t="s">
        <v>925</v>
      </c>
      <c r="C30" s="281"/>
      <c r="D30" s="579"/>
      <c r="E30" s="576"/>
      <c r="F30" s="414"/>
      <c r="G30" s="582"/>
      <c r="H30" s="566"/>
      <c r="I30" s="566"/>
      <c r="J30" s="251"/>
      <c r="K30" s="252"/>
      <c r="L30" s="332"/>
      <c r="N30" s="251"/>
      <c r="O30" s="252"/>
      <c r="P30" s="332"/>
      <c r="R30" s="277"/>
      <c r="S30" s="63"/>
      <c r="T30" s="332"/>
      <c r="V30" s="417">
        <v>1</v>
      </c>
      <c r="W30" s="418">
        <v>12.1</v>
      </c>
      <c r="X30" s="333"/>
    </row>
    <row r="31" spans="1:24" s="4" customFormat="1" x14ac:dyDescent="0.2">
      <c r="A31" s="4" t="s">
        <v>809</v>
      </c>
      <c r="B31" s="24"/>
      <c r="C31" s="34" t="s">
        <v>114</v>
      </c>
      <c r="D31" s="70"/>
      <c r="E31" s="363"/>
      <c r="F31" s="348"/>
      <c r="G31" s="364"/>
      <c r="H31" s="365"/>
      <c r="I31" s="27">
        <f>SUM(I32:I32)</f>
        <v>120</v>
      </c>
      <c r="J31" s="25"/>
      <c r="K31" s="26"/>
      <c r="L31" s="27">
        <f>SUM(L32:L32)</f>
        <v>120</v>
      </c>
      <c r="N31" s="25"/>
      <c r="O31" s="26"/>
      <c r="P31" s="27">
        <f>SUM(P32:P32)</f>
        <v>106</v>
      </c>
      <c r="R31" s="364"/>
      <c r="S31" s="25"/>
      <c r="T31" s="27">
        <f>SUM(T32:T32)</f>
        <v>104</v>
      </c>
      <c r="V31" s="364"/>
      <c r="W31" s="25"/>
      <c r="X31" s="287">
        <f>SUM(X32:X32)</f>
        <v>104.6</v>
      </c>
    </row>
    <row r="32" spans="1:24" ht="51.75" thickBot="1" x14ac:dyDescent="0.25">
      <c r="B32" s="127" t="s">
        <v>667</v>
      </c>
      <c r="C32" s="123" t="s">
        <v>423</v>
      </c>
      <c r="D32" s="74"/>
      <c r="E32" s="108" t="s">
        <v>607</v>
      </c>
      <c r="F32" s="349"/>
      <c r="G32" s="154">
        <v>2</v>
      </c>
      <c r="H32" s="231">
        <f>3*20</f>
        <v>60</v>
      </c>
      <c r="I32" s="231">
        <f>G32*H32</f>
        <v>120</v>
      </c>
      <c r="J32" s="154">
        <v>2</v>
      </c>
      <c r="K32" s="63">
        <v>60</v>
      </c>
      <c r="L32" s="82">
        <f>J32*K32</f>
        <v>120</v>
      </c>
      <c r="N32" s="154">
        <v>2</v>
      </c>
      <c r="O32" s="63">
        <v>53</v>
      </c>
      <c r="P32" s="82">
        <f>N32*O32</f>
        <v>106</v>
      </c>
      <c r="R32" s="154">
        <v>2</v>
      </c>
      <c r="S32" s="63">
        <v>52</v>
      </c>
      <c r="T32" s="82">
        <f>R32*S32</f>
        <v>104</v>
      </c>
      <c r="V32" s="154">
        <v>2</v>
      </c>
      <c r="W32" s="289">
        <v>52.3</v>
      </c>
      <c r="X32" s="289">
        <f>V32*W32</f>
        <v>104.6</v>
      </c>
    </row>
    <row r="33" spans="1:24" ht="18" x14ac:dyDescent="0.25">
      <c r="A33" t="s">
        <v>809</v>
      </c>
      <c r="B33" s="542" t="s">
        <v>115</v>
      </c>
      <c r="C33" s="543"/>
      <c r="D33" s="543"/>
      <c r="E33" s="595"/>
      <c r="F33" s="347"/>
      <c r="G33" s="85">
        <f>SUM(G35+G52+G60+G66+G71)</f>
        <v>29</v>
      </c>
      <c r="H33" s="85"/>
      <c r="I33" s="59">
        <f>I34+I65+I76+I89</f>
        <v>2372</v>
      </c>
      <c r="J33" s="370">
        <f>SUM(J35+J52+J60+J66+J71)</f>
        <v>29</v>
      </c>
      <c r="K33" s="86"/>
      <c r="L33" s="59">
        <f>L34+L65+L76+L89</f>
        <v>2374.84</v>
      </c>
      <c r="N33" s="156">
        <f>SUM(N35+N52+N60+N66+N71)</f>
        <v>26</v>
      </c>
      <c r="O33" s="86"/>
      <c r="P33" s="59">
        <f>P34+P65+P76+P89</f>
        <v>2399.6999999999998</v>
      </c>
      <c r="R33" s="93">
        <f>SUM(R35+R52+R60+R66+R71)</f>
        <v>26</v>
      </c>
      <c r="S33" s="268"/>
      <c r="T33" s="59">
        <f>T34+T65+T76+T89</f>
        <v>2424.7999999999997</v>
      </c>
      <c r="V33" s="85">
        <f>SUM(V35+V52+V60+V66+V71)</f>
        <v>26</v>
      </c>
      <c r="W33" s="382"/>
      <c r="X33" s="297">
        <f>X34+X65+X76+X89</f>
        <v>2398.1999999999998</v>
      </c>
    </row>
    <row r="34" spans="1:24" s="4" customFormat="1" x14ac:dyDescent="0.2">
      <c r="A34" s="4" t="s">
        <v>809</v>
      </c>
      <c r="B34" s="24"/>
      <c r="C34" s="34" t="s">
        <v>150</v>
      </c>
      <c r="D34" s="70"/>
      <c r="E34" s="363"/>
      <c r="F34" s="348"/>
      <c r="G34" s="574"/>
      <c r="H34" s="575"/>
      <c r="I34" s="27">
        <f>SUM(I35:I61)</f>
        <v>1558</v>
      </c>
      <c r="J34" s="371"/>
      <c r="K34" s="26"/>
      <c r="L34" s="27">
        <f>SUM(L35:L61)</f>
        <v>1554.8400000000001</v>
      </c>
      <c r="N34" s="157"/>
      <c r="O34" s="26"/>
      <c r="P34" s="27">
        <f>P35+P52+P60+P61</f>
        <v>1567.6999999999998</v>
      </c>
      <c r="R34" s="498"/>
      <c r="S34" s="26"/>
      <c r="T34" s="27">
        <f>T35+T52+T60+T61</f>
        <v>1575.2999999999997</v>
      </c>
      <c r="V34" s="364"/>
      <c r="W34" s="383"/>
      <c r="X34" s="287">
        <f>X35+X52+X60+X61</f>
        <v>1566.1</v>
      </c>
    </row>
    <row r="35" spans="1:24" ht="63.75" customHeight="1" x14ac:dyDescent="0.2">
      <c r="B35" s="127" t="s">
        <v>116</v>
      </c>
      <c r="C35" s="123" t="s">
        <v>424</v>
      </c>
      <c r="D35" s="74"/>
      <c r="E35" s="596" t="s">
        <v>628</v>
      </c>
      <c r="F35" s="369"/>
      <c r="G35" s="584">
        <v>16</v>
      </c>
      <c r="H35" s="583">
        <f>2.2*30</f>
        <v>66</v>
      </c>
      <c r="I35" s="583">
        <f>G35*H35</f>
        <v>1056</v>
      </c>
      <c r="J35" s="372">
        <v>16</v>
      </c>
      <c r="K35" s="216">
        <v>65.790000000000006</v>
      </c>
      <c r="L35" s="82">
        <f>J35*K35</f>
        <v>1052.6400000000001</v>
      </c>
      <c r="N35" s="215">
        <v>16</v>
      </c>
      <c r="O35" s="216">
        <f>AVERAGE(O36:O51)</f>
        <v>65.368749999999991</v>
      </c>
      <c r="P35" s="82">
        <f>SUM(P36:P51)</f>
        <v>1045.8999999999999</v>
      </c>
      <c r="R35" s="430">
        <v>16</v>
      </c>
      <c r="S35" s="216">
        <v>66</v>
      </c>
      <c r="T35" s="82">
        <f>SUM(T36:T51)</f>
        <v>1045.8999999999999</v>
      </c>
      <c r="V35" s="377">
        <v>16</v>
      </c>
      <c r="W35" s="514">
        <f>AVERAGE(W36:W51)</f>
        <v>65.3</v>
      </c>
      <c r="X35" s="285">
        <f>SUM(W36:W51)</f>
        <v>1044.8</v>
      </c>
    </row>
    <row r="36" spans="1:24" x14ac:dyDescent="0.2">
      <c r="B36" s="127" t="s">
        <v>900</v>
      </c>
      <c r="C36" s="123"/>
      <c r="D36" s="74"/>
      <c r="E36" s="597"/>
      <c r="F36" s="369"/>
      <c r="G36" s="585"/>
      <c r="H36" s="565"/>
      <c r="I36" s="565"/>
      <c r="J36" s="372"/>
      <c r="K36" s="216"/>
      <c r="L36" s="82"/>
      <c r="N36" s="215">
        <v>1</v>
      </c>
      <c r="O36" s="216">
        <v>64.3</v>
      </c>
      <c r="P36" s="82">
        <f t="shared" ref="P36:P51" si="16">O36</f>
        <v>64.3</v>
      </c>
      <c r="R36" s="128">
        <v>1</v>
      </c>
      <c r="S36" s="216">
        <v>64.3</v>
      </c>
      <c r="T36" s="82">
        <f t="shared" ref="T36:T51" si="17">S36</f>
        <v>64.3</v>
      </c>
      <c r="V36" s="377">
        <v>1</v>
      </c>
      <c r="W36" s="285">
        <v>64.900000000000006</v>
      </c>
      <c r="X36" s="285"/>
    </row>
    <row r="37" spans="1:24" x14ac:dyDescent="0.2">
      <c r="B37" s="127" t="s">
        <v>901</v>
      </c>
      <c r="C37" s="123"/>
      <c r="D37" s="74"/>
      <c r="E37" s="597"/>
      <c r="F37" s="369"/>
      <c r="G37" s="585"/>
      <c r="H37" s="565"/>
      <c r="I37" s="565"/>
      <c r="J37" s="372"/>
      <c r="K37" s="216"/>
      <c r="L37" s="82"/>
      <c r="N37" s="215">
        <v>1</v>
      </c>
      <c r="O37" s="216">
        <v>64.3</v>
      </c>
      <c r="P37" s="82">
        <f t="shared" si="16"/>
        <v>64.3</v>
      </c>
      <c r="R37" s="128">
        <v>1</v>
      </c>
      <c r="S37" s="216">
        <v>64.3</v>
      </c>
      <c r="T37" s="82">
        <f t="shared" si="17"/>
        <v>64.3</v>
      </c>
      <c r="V37" s="377">
        <v>1</v>
      </c>
      <c r="W37" s="285">
        <v>64.900000000000006</v>
      </c>
      <c r="X37" s="285"/>
    </row>
    <row r="38" spans="1:24" x14ac:dyDescent="0.2">
      <c r="B38" s="127" t="s">
        <v>902</v>
      </c>
      <c r="C38" s="123"/>
      <c r="D38" s="74"/>
      <c r="E38" s="597"/>
      <c r="F38" s="369"/>
      <c r="G38" s="585"/>
      <c r="H38" s="565"/>
      <c r="I38" s="565"/>
      <c r="J38" s="372"/>
      <c r="K38" s="216"/>
      <c r="L38" s="82"/>
      <c r="N38" s="215">
        <v>1</v>
      </c>
      <c r="O38" s="216">
        <v>66.099999999999994</v>
      </c>
      <c r="P38" s="82">
        <f t="shared" si="16"/>
        <v>66.099999999999994</v>
      </c>
      <c r="R38" s="128">
        <v>1</v>
      </c>
      <c r="S38" s="216">
        <v>66.099999999999994</v>
      </c>
      <c r="T38" s="82">
        <f t="shared" si="17"/>
        <v>66.099999999999994</v>
      </c>
      <c r="V38" s="377">
        <v>1</v>
      </c>
      <c r="W38" s="285">
        <v>63.9</v>
      </c>
      <c r="X38" s="285"/>
    </row>
    <row r="39" spans="1:24" x14ac:dyDescent="0.2">
      <c r="B39" s="127" t="s">
        <v>903</v>
      </c>
      <c r="C39" s="123"/>
      <c r="D39" s="74"/>
      <c r="E39" s="597"/>
      <c r="F39" s="369"/>
      <c r="G39" s="585"/>
      <c r="H39" s="565"/>
      <c r="I39" s="565"/>
      <c r="J39" s="372"/>
      <c r="K39" s="216"/>
      <c r="L39" s="82"/>
      <c r="N39" s="215">
        <v>1</v>
      </c>
      <c r="O39" s="216">
        <v>64.400000000000006</v>
      </c>
      <c r="P39" s="82">
        <f t="shared" si="16"/>
        <v>64.400000000000006</v>
      </c>
      <c r="R39" s="128">
        <v>1</v>
      </c>
      <c r="S39" s="216">
        <v>64.400000000000006</v>
      </c>
      <c r="T39" s="82">
        <f t="shared" si="17"/>
        <v>64.400000000000006</v>
      </c>
      <c r="V39" s="377">
        <v>1</v>
      </c>
      <c r="W39" s="285">
        <v>66.2</v>
      </c>
      <c r="X39" s="285"/>
    </row>
    <row r="40" spans="1:24" x14ac:dyDescent="0.2">
      <c r="B40" s="127" t="s">
        <v>904</v>
      </c>
      <c r="C40" s="123"/>
      <c r="D40" s="74"/>
      <c r="E40" s="597"/>
      <c r="F40" s="369"/>
      <c r="G40" s="585"/>
      <c r="H40" s="565"/>
      <c r="I40" s="565"/>
      <c r="J40" s="372"/>
      <c r="K40" s="216"/>
      <c r="L40" s="82"/>
      <c r="N40" s="215">
        <v>1</v>
      </c>
      <c r="O40" s="216">
        <v>66.3</v>
      </c>
      <c r="P40" s="82">
        <f t="shared" si="16"/>
        <v>66.3</v>
      </c>
      <c r="R40" s="128">
        <v>1</v>
      </c>
      <c r="S40" s="216">
        <v>66.3</v>
      </c>
      <c r="T40" s="82">
        <f t="shared" si="17"/>
        <v>66.3</v>
      </c>
      <c r="V40" s="377">
        <v>1</v>
      </c>
      <c r="W40" s="285">
        <v>64.900000000000006</v>
      </c>
      <c r="X40" s="285"/>
    </row>
    <row r="41" spans="1:24" x14ac:dyDescent="0.2">
      <c r="B41" s="127" t="s">
        <v>905</v>
      </c>
      <c r="C41" s="123"/>
      <c r="D41" s="74"/>
      <c r="E41" s="597"/>
      <c r="F41" s="369"/>
      <c r="G41" s="585"/>
      <c r="H41" s="565"/>
      <c r="I41" s="565"/>
      <c r="J41" s="372"/>
      <c r="K41" s="216"/>
      <c r="L41" s="82"/>
      <c r="N41" s="215">
        <v>1</v>
      </c>
      <c r="O41" s="216">
        <v>65.599999999999994</v>
      </c>
      <c r="P41" s="82">
        <f t="shared" si="16"/>
        <v>65.599999999999994</v>
      </c>
      <c r="R41" s="128">
        <v>1</v>
      </c>
      <c r="S41" s="216">
        <v>65.599999999999994</v>
      </c>
      <c r="T41" s="82">
        <f t="shared" si="17"/>
        <v>65.599999999999994</v>
      </c>
      <c r="V41" s="377">
        <v>1</v>
      </c>
      <c r="W41" s="333">
        <v>65.8</v>
      </c>
      <c r="X41" s="285"/>
    </row>
    <row r="42" spans="1:24" x14ac:dyDescent="0.2">
      <c r="B42" s="127" t="s">
        <v>906</v>
      </c>
      <c r="C42" s="123"/>
      <c r="D42" s="74"/>
      <c r="E42" s="597"/>
      <c r="F42" s="369"/>
      <c r="G42" s="585"/>
      <c r="H42" s="565"/>
      <c r="I42" s="565"/>
      <c r="J42" s="372"/>
      <c r="K42" s="216"/>
      <c r="L42" s="82"/>
      <c r="N42" s="215">
        <v>1</v>
      </c>
      <c r="O42" s="216">
        <v>65.400000000000006</v>
      </c>
      <c r="P42" s="82">
        <f t="shared" si="16"/>
        <v>65.400000000000006</v>
      </c>
      <c r="R42" s="128">
        <v>1</v>
      </c>
      <c r="S42" s="216">
        <v>65.400000000000006</v>
      </c>
      <c r="T42" s="82">
        <f t="shared" si="17"/>
        <v>65.400000000000006</v>
      </c>
      <c r="V42" s="377">
        <v>1</v>
      </c>
      <c r="W42" s="285">
        <v>67.2</v>
      </c>
      <c r="X42" s="285"/>
    </row>
    <row r="43" spans="1:24" x14ac:dyDescent="0.2">
      <c r="B43" s="127" t="s">
        <v>907</v>
      </c>
      <c r="C43" s="123"/>
      <c r="D43" s="74"/>
      <c r="E43" s="597"/>
      <c r="F43" s="369"/>
      <c r="G43" s="585"/>
      <c r="H43" s="565"/>
      <c r="I43" s="565"/>
      <c r="J43" s="372"/>
      <c r="K43" s="216"/>
      <c r="L43" s="82"/>
      <c r="N43" s="215">
        <v>1</v>
      </c>
      <c r="O43" s="216">
        <v>62</v>
      </c>
      <c r="P43" s="82">
        <f t="shared" si="16"/>
        <v>62</v>
      </c>
      <c r="R43" s="128">
        <v>1</v>
      </c>
      <c r="S43" s="216">
        <v>62</v>
      </c>
      <c r="T43" s="82">
        <f t="shared" si="17"/>
        <v>62</v>
      </c>
      <c r="V43" s="377">
        <v>1</v>
      </c>
      <c r="W43" s="285">
        <v>64.3</v>
      </c>
      <c r="X43" s="285"/>
    </row>
    <row r="44" spans="1:24" x14ac:dyDescent="0.2">
      <c r="B44" s="127" t="s">
        <v>908</v>
      </c>
      <c r="C44" s="123"/>
      <c r="D44" s="74"/>
      <c r="E44" s="597"/>
      <c r="F44" s="369"/>
      <c r="G44" s="585"/>
      <c r="H44" s="565"/>
      <c r="I44" s="565"/>
      <c r="J44" s="372"/>
      <c r="K44" s="216"/>
      <c r="L44" s="82"/>
      <c r="N44" s="215">
        <v>1</v>
      </c>
      <c r="O44" s="216">
        <v>69.5</v>
      </c>
      <c r="P44" s="82">
        <f t="shared" si="16"/>
        <v>69.5</v>
      </c>
      <c r="R44" s="128">
        <v>1</v>
      </c>
      <c r="S44" s="216">
        <v>69.5</v>
      </c>
      <c r="T44" s="82">
        <f t="shared" si="17"/>
        <v>69.5</v>
      </c>
      <c r="V44" s="377">
        <v>1</v>
      </c>
      <c r="W44" s="285">
        <v>58.8</v>
      </c>
      <c r="X44" s="285"/>
    </row>
    <row r="45" spans="1:24" x14ac:dyDescent="0.2">
      <c r="B45" s="127" t="s">
        <v>909</v>
      </c>
      <c r="C45" s="123"/>
      <c r="D45" s="74"/>
      <c r="E45" s="597"/>
      <c r="F45" s="369"/>
      <c r="G45" s="585"/>
      <c r="H45" s="565"/>
      <c r="I45" s="565"/>
      <c r="J45" s="372"/>
      <c r="K45" s="216"/>
      <c r="L45" s="82"/>
      <c r="N45" s="215">
        <v>1</v>
      </c>
      <c r="O45" s="216">
        <v>65.400000000000006</v>
      </c>
      <c r="P45" s="82">
        <f t="shared" si="16"/>
        <v>65.400000000000006</v>
      </c>
      <c r="R45" s="128">
        <v>1</v>
      </c>
      <c r="S45" s="216">
        <v>65.400000000000006</v>
      </c>
      <c r="T45" s="82">
        <f t="shared" si="17"/>
        <v>65.400000000000006</v>
      </c>
      <c r="V45" s="377">
        <v>1</v>
      </c>
      <c r="W45" s="285">
        <v>66.7</v>
      </c>
      <c r="X45" s="285"/>
    </row>
    <row r="46" spans="1:24" x14ac:dyDescent="0.2">
      <c r="B46" s="127" t="s">
        <v>910</v>
      </c>
      <c r="C46" s="123"/>
      <c r="D46" s="74"/>
      <c r="E46" s="597"/>
      <c r="F46" s="369"/>
      <c r="G46" s="585"/>
      <c r="H46" s="565"/>
      <c r="I46" s="565"/>
      <c r="J46" s="372"/>
      <c r="K46" s="216"/>
      <c r="L46" s="82"/>
      <c r="N46" s="215">
        <v>1</v>
      </c>
      <c r="O46" s="216">
        <v>65.599999999999994</v>
      </c>
      <c r="P46" s="82">
        <f t="shared" si="16"/>
        <v>65.599999999999994</v>
      </c>
      <c r="R46" s="128">
        <v>1</v>
      </c>
      <c r="S46" s="216">
        <v>65.599999999999994</v>
      </c>
      <c r="T46" s="82">
        <f t="shared" si="17"/>
        <v>65.599999999999994</v>
      </c>
      <c r="V46" s="377">
        <v>1</v>
      </c>
      <c r="W46" s="285">
        <v>65.7</v>
      </c>
      <c r="X46" s="285"/>
    </row>
    <row r="47" spans="1:24" x14ac:dyDescent="0.2">
      <c r="B47" s="127" t="s">
        <v>911</v>
      </c>
      <c r="C47" s="123"/>
      <c r="D47" s="74"/>
      <c r="E47" s="597"/>
      <c r="F47" s="369"/>
      <c r="G47" s="585"/>
      <c r="H47" s="565"/>
      <c r="I47" s="565"/>
      <c r="J47" s="372"/>
      <c r="K47" s="216"/>
      <c r="L47" s="82"/>
      <c r="N47" s="215">
        <v>1</v>
      </c>
      <c r="O47" s="216">
        <v>66.400000000000006</v>
      </c>
      <c r="P47" s="82">
        <f t="shared" si="16"/>
        <v>66.400000000000006</v>
      </c>
      <c r="R47" s="128">
        <v>1</v>
      </c>
      <c r="S47" s="216">
        <v>66.400000000000006</v>
      </c>
      <c r="T47" s="82">
        <f t="shared" si="17"/>
        <v>66.400000000000006</v>
      </c>
      <c r="V47" s="377">
        <v>1</v>
      </c>
      <c r="W47" s="285">
        <v>64.900000000000006</v>
      </c>
      <c r="X47" s="285"/>
    </row>
    <row r="48" spans="1:24" x14ac:dyDescent="0.2">
      <c r="B48" s="127" t="s">
        <v>912</v>
      </c>
      <c r="C48" s="123"/>
      <c r="D48" s="74"/>
      <c r="E48" s="597"/>
      <c r="F48" s="369"/>
      <c r="G48" s="585"/>
      <c r="H48" s="565"/>
      <c r="I48" s="565"/>
      <c r="J48" s="372"/>
      <c r="K48" s="216"/>
      <c r="L48" s="82"/>
      <c r="N48" s="215">
        <v>1</v>
      </c>
      <c r="O48" s="216">
        <v>65.5</v>
      </c>
      <c r="P48" s="82">
        <f t="shared" si="16"/>
        <v>65.5</v>
      </c>
      <c r="R48" s="128">
        <v>1</v>
      </c>
      <c r="S48" s="216">
        <v>65.5</v>
      </c>
      <c r="T48" s="82">
        <f t="shared" si="17"/>
        <v>65.5</v>
      </c>
      <c r="V48" s="377">
        <v>1</v>
      </c>
      <c r="W48" s="285">
        <v>65.5</v>
      </c>
      <c r="X48" s="285"/>
    </row>
    <row r="49" spans="2:24" x14ac:dyDescent="0.2">
      <c r="B49" s="127" t="s">
        <v>913</v>
      </c>
      <c r="C49" s="123"/>
      <c r="D49" s="74"/>
      <c r="E49" s="597"/>
      <c r="F49" s="369"/>
      <c r="G49" s="585"/>
      <c r="H49" s="565"/>
      <c r="I49" s="565"/>
      <c r="J49" s="372"/>
      <c r="K49" s="216"/>
      <c r="L49" s="82"/>
      <c r="N49" s="215">
        <v>1</v>
      </c>
      <c r="O49" s="216">
        <v>64.400000000000006</v>
      </c>
      <c r="P49" s="82">
        <f t="shared" si="16"/>
        <v>64.400000000000006</v>
      </c>
      <c r="R49" s="128">
        <v>1</v>
      </c>
      <c r="S49" s="216">
        <v>64.400000000000006</v>
      </c>
      <c r="T49" s="82">
        <f t="shared" si="17"/>
        <v>64.400000000000006</v>
      </c>
      <c r="V49" s="377">
        <v>1</v>
      </c>
      <c r="W49" s="285">
        <v>63.9</v>
      </c>
      <c r="X49" s="285"/>
    </row>
    <row r="50" spans="2:24" x14ac:dyDescent="0.2">
      <c r="B50" s="127" t="s">
        <v>914</v>
      </c>
      <c r="C50" s="123"/>
      <c r="D50" s="74"/>
      <c r="E50" s="597"/>
      <c r="F50" s="369"/>
      <c r="G50" s="585"/>
      <c r="H50" s="565"/>
      <c r="I50" s="565"/>
      <c r="J50" s="372"/>
      <c r="K50" s="216"/>
      <c r="L50" s="82"/>
      <c r="N50" s="215">
        <v>1</v>
      </c>
      <c r="O50" s="216">
        <v>64.400000000000006</v>
      </c>
      <c r="P50" s="82">
        <f t="shared" si="16"/>
        <v>64.400000000000006</v>
      </c>
      <c r="R50" s="128">
        <v>1</v>
      </c>
      <c r="S50" s="216">
        <v>64.400000000000006</v>
      </c>
      <c r="T50" s="82">
        <f t="shared" si="17"/>
        <v>64.400000000000006</v>
      </c>
      <c r="V50" s="377">
        <v>1</v>
      </c>
      <c r="W50" s="285">
        <v>63.8</v>
      </c>
      <c r="X50" s="285"/>
    </row>
    <row r="51" spans="2:24" x14ac:dyDescent="0.2">
      <c r="B51" s="280" t="s">
        <v>915</v>
      </c>
      <c r="C51" s="183"/>
      <c r="D51" s="422"/>
      <c r="E51" s="598"/>
      <c r="F51" s="369"/>
      <c r="G51" s="586"/>
      <c r="H51" s="566"/>
      <c r="I51" s="566"/>
      <c r="J51" s="372"/>
      <c r="K51" s="216"/>
      <c r="L51" s="82"/>
      <c r="N51" s="215">
        <v>1</v>
      </c>
      <c r="O51" s="216">
        <v>66.3</v>
      </c>
      <c r="P51" s="82">
        <f t="shared" si="16"/>
        <v>66.3</v>
      </c>
      <c r="R51" s="441">
        <v>1</v>
      </c>
      <c r="S51" s="283">
        <v>66.3</v>
      </c>
      <c r="T51" s="231">
        <f t="shared" si="17"/>
        <v>66.3</v>
      </c>
      <c r="V51" s="378">
        <v>1</v>
      </c>
      <c r="W51" s="285">
        <v>73.400000000000006</v>
      </c>
      <c r="X51" s="289"/>
    </row>
    <row r="52" spans="2:24" ht="38.25" x14ac:dyDescent="0.2">
      <c r="B52" s="172" t="s">
        <v>425</v>
      </c>
      <c r="C52" s="135" t="s">
        <v>836</v>
      </c>
      <c r="D52" s="423"/>
      <c r="E52" s="596" t="s">
        <v>899</v>
      </c>
      <c r="F52" s="369"/>
      <c r="G52" s="584">
        <v>7</v>
      </c>
      <c r="H52" s="583">
        <f>2.2*30</f>
        <v>66</v>
      </c>
      <c r="I52" s="583">
        <f t="shared" ref="I52:I90" si="18">G52*H52</f>
        <v>462</v>
      </c>
      <c r="J52" s="372">
        <v>7</v>
      </c>
      <c r="K52" s="216">
        <v>66</v>
      </c>
      <c r="L52" s="82">
        <f t="shared" ref="L52:L60" si="19">J52*K52</f>
        <v>462</v>
      </c>
      <c r="N52" s="215">
        <v>7</v>
      </c>
      <c r="O52" s="216">
        <f>AVERAGE(O53:O59)</f>
        <v>65.128571428571419</v>
      </c>
      <c r="P52" s="82">
        <f>SUM(P53:P59)</f>
        <v>455.9</v>
      </c>
      <c r="R52" s="430">
        <v>7</v>
      </c>
      <c r="S52" s="139">
        <f>AVERAGE(S53:S59)</f>
        <v>65.128571428571419</v>
      </c>
      <c r="T52" s="139">
        <f>SUM(T53:T59)</f>
        <v>455.9</v>
      </c>
      <c r="V52" s="424">
        <v>7</v>
      </c>
      <c r="W52" s="515">
        <f>AVERAGE(W53:W59)</f>
        <v>64.042857142857144</v>
      </c>
      <c r="X52" s="420">
        <f>SUM(W53:W59)</f>
        <v>448.3</v>
      </c>
    </row>
    <row r="53" spans="2:24" x14ac:dyDescent="0.2">
      <c r="B53" s="127" t="s">
        <v>892</v>
      </c>
      <c r="C53" s="123"/>
      <c r="D53" s="74"/>
      <c r="E53" s="597"/>
      <c r="F53" s="369"/>
      <c r="G53" s="585"/>
      <c r="H53" s="565"/>
      <c r="I53" s="565"/>
      <c r="J53" s="373"/>
      <c r="K53" s="216"/>
      <c r="L53" s="82"/>
      <c r="N53" s="261"/>
      <c r="O53" s="216">
        <v>65.400000000000006</v>
      </c>
      <c r="P53" s="82">
        <f>O53</f>
        <v>65.400000000000006</v>
      </c>
      <c r="R53" s="128"/>
      <c r="S53" s="216">
        <v>65.400000000000006</v>
      </c>
      <c r="T53" s="82">
        <f>S53</f>
        <v>65.400000000000006</v>
      </c>
      <c r="V53" s="378">
        <v>1</v>
      </c>
      <c r="W53" s="285">
        <v>65.599999999999994</v>
      </c>
      <c r="X53" s="285"/>
    </row>
    <row r="54" spans="2:24" x14ac:dyDescent="0.2">
      <c r="B54" s="127" t="s">
        <v>893</v>
      </c>
      <c r="C54" s="123"/>
      <c r="D54" s="74"/>
      <c r="E54" s="597"/>
      <c r="F54" s="369"/>
      <c r="G54" s="585"/>
      <c r="H54" s="565"/>
      <c r="I54" s="565"/>
      <c r="J54" s="373"/>
      <c r="K54" s="216"/>
      <c r="L54" s="82"/>
      <c r="N54" s="261"/>
      <c r="O54" s="216">
        <v>65.400000000000006</v>
      </c>
      <c r="P54" s="82">
        <f t="shared" ref="P54:P59" si="20">O54</f>
        <v>65.400000000000006</v>
      </c>
      <c r="R54" s="128"/>
      <c r="S54" s="216">
        <v>65.400000000000006</v>
      </c>
      <c r="T54" s="82">
        <f t="shared" ref="T54:T59" si="21">S54</f>
        <v>65.400000000000006</v>
      </c>
      <c r="V54" s="378">
        <v>1</v>
      </c>
      <c r="W54" s="285">
        <v>63.9</v>
      </c>
      <c r="X54" s="285"/>
    </row>
    <row r="55" spans="2:24" x14ac:dyDescent="0.2">
      <c r="B55" s="127" t="s">
        <v>894</v>
      </c>
      <c r="C55" s="123"/>
      <c r="D55" s="74"/>
      <c r="E55" s="597"/>
      <c r="F55" s="369"/>
      <c r="G55" s="585"/>
      <c r="H55" s="565"/>
      <c r="I55" s="565"/>
      <c r="J55" s="373"/>
      <c r="K55" s="216"/>
      <c r="L55" s="82"/>
      <c r="N55" s="261"/>
      <c r="O55" s="216">
        <v>64.400000000000006</v>
      </c>
      <c r="P55" s="82">
        <f t="shared" si="20"/>
        <v>64.400000000000006</v>
      </c>
      <c r="R55" s="128"/>
      <c r="S55" s="216">
        <v>64.400000000000006</v>
      </c>
      <c r="T55" s="82">
        <f t="shared" si="21"/>
        <v>64.400000000000006</v>
      </c>
      <c r="V55" s="378">
        <v>1</v>
      </c>
      <c r="W55" s="285">
        <v>63.9</v>
      </c>
      <c r="X55" s="285"/>
    </row>
    <row r="56" spans="2:24" x14ac:dyDescent="0.2">
      <c r="B56" s="127" t="s">
        <v>895</v>
      </c>
      <c r="C56" s="123"/>
      <c r="D56" s="74"/>
      <c r="E56" s="597"/>
      <c r="F56" s="369"/>
      <c r="G56" s="585"/>
      <c r="H56" s="565"/>
      <c r="I56" s="565"/>
      <c r="J56" s="373"/>
      <c r="K56" s="216"/>
      <c r="L56" s="82"/>
      <c r="N56" s="261"/>
      <c r="O56" s="216">
        <v>64.5</v>
      </c>
      <c r="P56" s="82">
        <f t="shared" si="20"/>
        <v>64.5</v>
      </c>
      <c r="R56" s="128"/>
      <c r="S56" s="216">
        <v>64.5</v>
      </c>
      <c r="T56" s="82">
        <f t="shared" si="21"/>
        <v>64.5</v>
      </c>
      <c r="V56" s="378">
        <v>1</v>
      </c>
      <c r="W56" s="285">
        <v>62.4</v>
      </c>
      <c r="X56" s="285"/>
    </row>
    <row r="57" spans="2:24" x14ac:dyDescent="0.2">
      <c r="B57" s="127" t="s">
        <v>896</v>
      </c>
      <c r="C57" s="123"/>
      <c r="D57" s="74"/>
      <c r="E57" s="597"/>
      <c r="F57" s="369"/>
      <c r="G57" s="585"/>
      <c r="H57" s="565"/>
      <c r="I57" s="565"/>
      <c r="J57" s="373"/>
      <c r="K57" s="216"/>
      <c r="L57" s="82"/>
      <c r="N57" s="261"/>
      <c r="O57" s="216">
        <v>65.400000000000006</v>
      </c>
      <c r="P57" s="82">
        <f t="shared" si="20"/>
        <v>65.400000000000006</v>
      </c>
      <c r="R57" s="128"/>
      <c r="S57" s="216">
        <v>65.400000000000006</v>
      </c>
      <c r="T57" s="82">
        <f t="shared" si="21"/>
        <v>65.400000000000006</v>
      </c>
      <c r="V57" s="378">
        <v>1</v>
      </c>
      <c r="W57" s="285">
        <v>65.5</v>
      </c>
      <c r="X57" s="285"/>
    </row>
    <row r="58" spans="2:24" x14ac:dyDescent="0.2">
      <c r="B58" s="127" t="s">
        <v>897</v>
      </c>
      <c r="C58" s="123"/>
      <c r="D58" s="74"/>
      <c r="E58" s="597"/>
      <c r="F58" s="369"/>
      <c r="G58" s="585"/>
      <c r="H58" s="565"/>
      <c r="I58" s="565"/>
      <c r="J58" s="373"/>
      <c r="K58" s="216"/>
      <c r="L58" s="82"/>
      <c r="N58" s="261"/>
      <c r="O58" s="216">
        <v>65.400000000000006</v>
      </c>
      <c r="P58" s="82">
        <f t="shared" si="20"/>
        <v>65.400000000000006</v>
      </c>
      <c r="R58" s="128"/>
      <c r="S58" s="216">
        <v>65.400000000000006</v>
      </c>
      <c r="T58" s="82">
        <f t="shared" si="21"/>
        <v>65.400000000000006</v>
      </c>
      <c r="V58" s="378">
        <v>1</v>
      </c>
      <c r="W58" s="285">
        <v>63.8</v>
      </c>
      <c r="X58" s="285"/>
    </row>
    <row r="59" spans="2:24" x14ac:dyDescent="0.2">
      <c r="B59" s="280" t="s">
        <v>898</v>
      </c>
      <c r="C59" s="183"/>
      <c r="D59" s="422"/>
      <c r="E59" s="598"/>
      <c r="F59" s="369"/>
      <c r="G59" s="586"/>
      <c r="H59" s="566"/>
      <c r="I59" s="566"/>
      <c r="J59" s="373"/>
      <c r="K59" s="216"/>
      <c r="L59" s="82"/>
      <c r="N59" s="261"/>
      <c r="O59" s="216">
        <v>65.400000000000006</v>
      </c>
      <c r="P59" s="82">
        <f t="shared" si="20"/>
        <v>65.400000000000006</v>
      </c>
      <c r="R59" s="441"/>
      <c r="S59" s="283">
        <v>65.400000000000006</v>
      </c>
      <c r="T59" s="231">
        <f t="shared" si="21"/>
        <v>65.400000000000006</v>
      </c>
      <c r="V59" s="378">
        <v>1</v>
      </c>
      <c r="W59" s="289">
        <v>63.2</v>
      </c>
      <c r="X59" s="289"/>
    </row>
    <row r="60" spans="2:24" ht="26.25" thickBot="1" x14ac:dyDescent="0.25">
      <c r="B60" s="415" t="s">
        <v>118</v>
      </c>
      <c r="C60" s="397" t="s">
        <v>851</v>
      </c>
      <c r="D60" s="426"/>
      <c r="E60" s="435"/>
      <c r="F60" s="369"/>
      <c r="G60" s="428">
        <v>1</v>
      </c>
      <c r="H60" s="413">
        <v>10</v>
      </c>
      <c r="I60" s="413">
        <f t="shared" si="18"/>
        <v>10</v>
      </c>
      <c r="J60" s="374">
        <v>1</v>
      </c>
      <c r="K60" s="216">
        <v>9.9</v>
      </c>
      <c r="L60" s="82">
        <f t="shared" si="19"/>
        <v>9.9</v>
      </c>
      <c r="N60" s="218">
        <v>1</v>
      </c>
      <c r="O60" s="216">
        <v>9.1999999999999993</v>
      </c>
      <c r="P60" s="82">
        <f t="shared" ref="P60" si="22">N60*O60</f>
        <v>9.1999999999999993</v>
      </c>
      <c r="R60" s="468">
        <v>1</v>
      </c>
      <c r="S60" s="429">
        <v>9.1999999999999993</v>
      </c>
      <c r="T60" s="429">
        <f t="shared" ref="T60" si="23">R60*S60</f>
        <v>9.1999999999999993</v>
      </c>
      <c r="V60" s="430">
        <v>1</v>
      </c>
      <c r="W60" s="431">
        <v>9</v>
      </c>
      <c r="X60" s="431">
        <f t="shared" ref="X60" si="24">V60*W60</f>
        <v>9</v>
      </c>
    </row>
    <row r="61" spans="2:24" x14ac:dyDescent="0.2">
      <c r="B61" s="172" t="s">
        <v>119</v>
      </c>
      <c r="C61" s="135" t="s">
        <v>610</v>
      </c>
      <c r="D61" s="427"/>
      <c r="E61" s="136"/>
      <c r="F61" s="369"/>
      <c r="G61" s="584">
        <v>3</v>
      </c>
      <c r="H61" s="587">
        <v>10</v>
      </c>
      <c r="I61" s="587">
        <f>G61*H61</f>
        <v>30</v>
      </c>
      <c r="J61" s="226">
        <v>3</v>
      </c>
      <c r="K61" s="225">
        <v>10.1</v>
      </c>
      <c r="L61" s="129">
        <f>J61*K61</f>
        <v>30.299999999999997</v>
      </c>
      <c r="N61" s="226">
        <v>3</v>
      </c>
      <c r="O61" s="225">
        <v>10.1</v>
      </c>
      <c r="P61" s="129">
        <f>SUM(P62:P64)</f>
        <v>56.7</v>
      </c>
      <c r="R61" s="430">
        <v>3</v>
      </c>
      <c r="S61" s="527">
        <v>10.1</v>
      </c>
      <c r="T61" s="437">
        <f>SUM(T62:T64)</f>
        <v>64.3</v>
      </c>
      <c r="V61" s="425">
        <v>3</v>
      </c>
      <c r="W61" s="517">
        <f>AVERAGE(W62:W64)</f>
        <v>21.333333333333332</v>
      </c>
      <c r="X61" s="432">
        <f>SUM(W62:W64)</f>
        <v>64</v>
      </c>
    </row>
    <row r="62" spans="2:24" x14ac:dyDescent="0.2">
      <c r="B62" s="127" t="s">
        <v>916</v>
      </c>
      <c r="C62" s="249"/>
      <c r="D62" s="84"/>
      <c r="E62" s="458"/>
      <c r="F62" s="369"/>
      <c r="G62" s="585"/>
      <c r="H62" s="588"/>
      <c r="I62" s="588"/>
      <c r="J62" s="262"/>
      <c r="K62" s="263"/>
      <c r="L62" s="264"/>
      <c r="N62" s="262">
        <v>1</v>
      </c>
      <c r="O62" s="263">
        <v>8.8000000000000007</v>
      </c>
      <c r="P62" s="129">
        <f>N62*O62</f>
        <v>8.8000000000000007</v>
      </c>
      <c r="R62" s="128">
        <v>1</v>
      </c>
      <c r="S62" s="219">
        <v>8.8000000000000007</v>
      </c>
      <c r="T62" s="129">
        <f>R62*S62</f>
        <v>8.8000000000000007</v>
      </c>
      <c r="V62" s="128">
        <v>1</v>
      </c>
      <c r="W62" s="384">
        <v>7.7</v>
      </c>
      <c r="X62" s="384"/>
    </row>
    <row r="63" spans="2:24" x14ac:dyDescent="0.2">
      <c r="B63" s="127" t="s">
        <v>917</v>
      </c>
      <c r="C63" s="123"/>
      <c r="D63" s="84"/>
      <c r="E63" s="458"/>
      <c r="F63" s="369"/>
      <c r="G63" s="585"/>
      <c r="H63" s="588"/>
      <c r="I63" s="588"/>
      <c r="J63" s="262"/>
      <c r="K63" s="263"/>
      <c r="L63" s="264"/>
      <c r="N63" s="262">
        <v>1</v>
      </c>
      <c r="O63" s="263">
        <v>9.5</v>
      </c>
      <c r="P63" s="129">
        <f t="shared" ref="P63:P64" si="25">N63*O63</f>
        <v>9.5</v>
      </c>
      <c r="R63" s="128">
        <v>1</v>
      </c>
      <c r="S63" s="219">
        <v>9.5</v>
      </c>
      <c r="T63" s="129">
        <f t="shared" ref="T63" si="26">R63*S63</f>
        <v>9.5</v>
      </c>
      <c r="V63" s="128">
        <v>1</v>
      </c>
      <c r="W63" s="333">
        <v>10</v>
      </c>
      <c r="X63" s="298"/>
    </row>
    <row r="64" spans="2:24" x14ac:dyDescent="0.2">
      <c r="B64" s="127" t="s">
        <v>918</v>
      </c>
      <c r="D64" s="84"/>
      <c r="E64" s="458"/>
      <c r="F64" s="369"/>
      <c r="G64" s="586"/>
      <c r="H64" s="589"/>
      <c r="I64" s="589"/>
      <c r="N64" s="262">
        <v>1</v>
      </c>
      <c r="O64" s="263">
        <v>38.4</v>
      </c>
      <c r="P64" s="129">
        <f t="shared" si="25"/>
        <v>38.4</v>
      </c>
      <c r="R64" s="441">
        <v>1</v>
      </c>
      <c r="S64" s="263">
        <v>38.4</v>
      </c>
      <c r="T64" s="129">
        <v>46</v>
      </c>
      <c r="V64" s="380">
        <v>1</v>
      </c>
      <c r="W64" s="298">
        <v>46.3</v>
      </c>
      <c r="X64" s="385"/>
    </row>
    <row r="65" spans="1:24" s="4" customFormat="1" ht="13.5" thickBot="1" x14ac:dyDescent="0.25">
      <c r="A65" s="4" t="s">
        <v>809</v>
      </c>
      <c r="B65" s="24"/>
      <c r="C65" s="34" t="s">
        <v>426</v>
      </c>
      <c r="D65" s="70"/>
      <c r="E65" s="70"/>
      <c r="F65" s="351"/>
      <c r="G65" s="442"/>
      <c r="H65" s="462"/>
      <c r="I65" s="463">
        <f>SUM(I66:I75)</f>
        <v>444</v>
      </c>
      <c r="J65" s="227"/>
      <c r="K65" s="26"/>
      <c r="L65" s="27">
        <f>SUM(L66:L75)</f>
        <v>450</v>
      </c>
      <c r="N65" s="227"/>
      <c r="O65" s="26"/>
      <c r="P65" s="27">
        <f>SUM(P66:P75)</f>
        <v>456</v>
      </c>
      <c r="R65" s="442"/>
      <c r="S65" s="26"/>
      <c r="T65" s="27">
        <f>SUM(T66:T75)</f>
        <v>473.5</v>
      </c>
      <c r="U65"/>
      <c r="V65" s="364"/>
      <c r="W65" s="381"/>
      <c r="X65" s="287">
        <f>X66+X71+X72</f>
        <v>451.5</v>
      </c>
    </row>
    <row r="66" spans="1:24" x14ac:dyDescent="0.2">
      <c r="B66" s="127" t="s">
        <v>120</v>
      </c>
      <c r="C66" s="123" t="s">
        <v>583</v>
      </c>
      <c r="D66" s="74"/>
      <c r="E66" s="596" t="s">
        <v>571</v>
      </c>
      <c r="F66" s="369"/>
      <c r="G66" s="584">
        <v>4</v>
      </c>
      <c r="H66" s="587">
        <f>30*3</f>
        <v>90</v>
      </c>
      <c r="I66" s="583">
        <f t="shared" si="18"/>
        <v>360</v>
      </c>
      <c r="J66" s="464">
        <v>4</v>
      </c>
      <c r="K66" s="217">
        <v>90</v>
      </c>
      <c r="L66" s="82">
        <f t="shared" ref="L66:L71" si="27">J66*K66</f>
        <v>360</v>
      </c>
      <c r="N66" s="224">
        <v>1</v>
      </c>
      <c r="O66" s="217">
        <v>90.9</v>
      </c>
      <c r="P66" s="82">
        <f t="shared" ref="P66:P71" si="28">N66*O66</f>
        <v>90.9</v>
      </c>
      <c r="R66" s="425">
        <v>1</v>
      </c>
      <c r="S66" s="217">
        <v>90</v>
      </c>
      <c r="T66" s="82">
        <f t="shared" ref="T66:T71" si="29">R66*S66</f>
        <v>90</v>
      </c>
      <c r="V66" s="424">
        <v>1</v>
      </c>
      <c r="W66" s="517">
        <f>AVERAGE(W67:W70)</f>
        <v>89.875</v>
      </c>
      <c r="X66" s="285">
        <f>SUM(W67:W70)</f>
        <v>359.5</v>
      </c>
    </row>
    <row r="67" spans="1:24" x14ac:dyDescent="0.2">
      <c r="B67" s="127" t="s">
        <v>919</v>
      </c>
      <c r="C67" s="123"/>
      <c r="D67" s="74"/>
      <c r="E67" s="597"/>
      <c r="F67" s="369"/>
      <c r="G67" s="585"/>
      <c r="H67" s="588"/>
      <c r="I67" s="565"/>
      <c r="J67" s="465"/>
      <c r="K67" s="217"/>
      <c r="L67" s="82"/>
      <c r="N67" s="265"/>
      <c r="O67" s="217"/>
      <c r="P67" s="82"/>
      <c r="R67" s="128"/>
      <c r="S67" s="217"/>
      <c r="T67" s="82"/>
      <c r="V67" s="375">
        <v>1</v>
      </c>
      <c r="W67" s="440">
        <v>89.7</v>
      </c>
      <c r="X67" s="285"/>
    </row>
    <row r="68" spans="1:24" x14ac:dyDescent="0.2">
      <c r="B68" s="127" t="s">
        <v>920</v>
      </c>
      <c r="C68" s="123"/>
      <c r="D68" s="74"/>
      <c r="E68" s="597"/>
      <c r="F68" s="369"/>
      <c r="G68" s="585"/>
      <c r="H68" s="588"/>
      <c r="I68" s="565"/>
      <c r="J68" s="465"/>
      <c r="K68" s="217"/>
      <c r="L68" s="82"/>
      <c r="N68" s="265">
        <v>1</v>
      </c>
      <c r="O68" s="217">
        <v>90.9</v>
      </c>
      <c r="P68" s="82">
        <f t="shared" ref="P68:P70" si="30">N68*O68</f>
        <v>90.9</v>
      </c>
      <c r="R68" s="128">
        <v>1</v>
      </c>
      <c r="S68" s="217">
        <v>90.9</v>
      </c>
      <c r="T68" s="82">
        <f t="shared" si="29"/>
        <v>90.9</v>
      </c>
      <c r="V68" s="128">
        <v>1</v>
      </c>
      <c r="W68" s="298">
        <v>90.4</v>
      </c>
      <c r="X68" s="285"/>
    </row>
    <row r="69" spans="1:24" x14ac:dyDescent="0.2">
      <c r="B69" s="127" t="s">
        <v>921</v>
      </c>
      <c r="C69" s="123"/>
      <c r="D69" s="74"/>
      <c r="E69" s="597"/>
      <c r="F69" s="369"/>
      <c r="G69" s="585"/>
      <c r="H69" s="588"/>
      <c r="I69" s="565"/>
      <c r="J69" s="465"/>
      <c r="K69" s="217"/>
      <c r="L69" s="82"/>
      <c r="N69" s="265">
        <v>1</v>
      </c>
      <c r="O69" s="217">
        <v>90.9</v>
      </c>
      <c r="P69" s="82">
        <f t="shared" si="30"/>
        <v>90.9</v>
      </c>
      <c r="R69" s="128">
        <v>1</v>
      </c>
      <c r="S69" s="217">
        <v>90.9</v>
      </c>
      <c r="T69" s="82">
        <f t="shared" si="29"/>
        <v>90.9</v>
      </c>
      <c r="V69" s="128">
        <v>1</v>
      </c>
      <c r="W69" s="298">
        <v>89</v>
      </c>
      <c r="X69" s="285"/>
    </row>
    <row r="70" spans="1:24" x14ac:dyDescent="0.2">
      <c r="B70" s="280" t="s">
        <v>922</v>
      </c>
      <c r="C70" s="183"/>
      <c r="D70" s="422"/>
      <c r="E70" s="598"/>
      <c r="F70" s="369"/>
      <c r="G70" s="586"/>
      <c r="H70" s="589"/>
      <c r="I70" s="566"/>
      <c r="J70" s="465"/>
      <c r="K70" s="217"/>
      <c r="L70" s="82"/>
      <c r="N70" s="265">
        <v>1</v>
      </c>
      <c r="O70" s="217">
        <v>90.9</v>
      </c>
      <c r="P70" s="82">
        <f t="shared" si="30"/>
        <v>90.9</v>
      </c>
      <c r="R70" s="236">
        <v>1</v>
      </c>
      <c r="S70" s="433">
        <v>90.9</v>
      </c>
      <c r="T70" s="231">
        <f t="shared" si="29"/>
        <v>90.9</v>
      </c>
      <c r="V70" s="375">
        <v>1</v>
      </c>
      <c r="W70" s="384">
        <v>90.4</v>
      </c>
      <c r="X70" s="289"/>
    </row>
    <row r="71" spans="1:24" ht="13.5" thickBot="1" x14ac:dyDescent="0.25">
      <c r="B71" s="434" t="s">
        <v>121</v>
      </c>
      <c r="C71" s="397" t="s">
        <v>434</v>
      </c>
      <c r="D71" s="426"/>
      <c r="E71" s="435" t="s">
        <v>572</v>
      </c>
      <c r="F71" s="369"/>
      <c r="G71" s="430">
        <v>1</v>
      </c>
      <c r="H71" s="429">
        <f>15*4</f>
        <v>60</v>
      </c>
      <c r="I71" s="367">
        <f t="shared" si="18"/>
        <v>60</v>
      </c>
      <c r="J71" s="374">
        <v>1</v>
      </c>
      <c r="K71" s="216">
        <v>66</v>
      </c>
      <c r="L71" s="82">
        <f t="shared" si="27"/>
        <v>66</v>
      </c>
      <c r="N71" s="218">
        <v>1</v>
      </c>
      <c r="O71" s="216">
        <v>66</v>
      </c>
      <c r="P71" s="82">
        <f t="shared" si="28"/>
        <v>66</v>
      </c>
      <c r="R71" s="430">
        <v>1</v>
      </c>
      <c r="S71" s="436">
        <v>66</v>
      </c>
      <c r="T71" s="429">
        <f t="shared" si="29"/>
        <v>66</v>
      </c>
      <c r="V71" s="428">
        <v>1</v>
      </c>
      <c r="W71" s="431">
        <v>66</v>
      </c>
      <c r="X71" s="431">
        <f t="shared" ref="X71" si="31">V71*W71</f>
        <v>66</v>
      </c>
    </row>
    <row r="72" spans="1:24" ht="13.5" thickBot="1" x14ac:dyDescent="0.25">
      <c r="B72" s="172" t="s">
        <v>122</v>
      </c>
      <c r="C72" s="135" t="s">
        <v>862</v>
      </c>
      <c r="D72" s="423"/>
      <c r="E72" s="136"/>
      <c r="F72" s="369"/>
      <c r="G72" s="584">
        <v>3</v>
      </c>
      <c r="H72" s="583">
        <v>8</v>
      </c>
      <c r="I72" s="583">
        <f>H72*G72</f>
        <v>24</v>
      </c>
      <c r="J72" s="262"/>
      <c r="K72" s="216"/>
      <c r="L72" s="82"/>
      <c r="N72" s="262"/>
      <c r="O72" s="216"/>
      <c r="P72" s="82"/>
      <c r="R72" s="425"/>
      <c r="S72" s="284"/>
      <c r="T72" s="139">
        <f>T73+T74+T75</f>
        <v>22.4</v>
      </c>
      <c r="V72" s="428">
        <v>3</v>
      </c>
      <c r="W72" s="515">
        <f>AVERAGE(W73:W75)</f>
        <v>8.6666666666666661</v>
      </c>
      <c r="X72" s="420">
        <f>SUM(W73:W75)</f>
        <v>26</v>
      </c>
    </row>
    <row r="73" spans="1:24" ht="13.5" thickBot="1" x14ac:dyDescent="0.25">
      <c r="B73" s="127" t="s">
        <v>889</v>
      </c>
      <c r="C73" s="123"/>
      <c r="D73" s="74"/>
      <c r="E73" s="108"/>
      <c r="F73" s="369"/>
      <c r="G73" s="585"/>
      <c r="H73" s="565"/>
      <c r="I73" s="565"/>
      <c r="J73" s="222">
        <v>3</v>
      </c>
      <c r="K73" s="82">
        <v>8</v>
      </c>
      <c r="L73" s="82">
        <f>J73*K73</f>
        <v>24</v>
      </c>
      <c r="N73" s="222">
        <v>1</v>
      </c>
      <c r="O73" s="82">
        <v>9</v>
      </c>
      <c r="P73" s="82">
        <f>N73*O73</f>
        <v>9</v>
      </c>
      <c r="R73" s="128">
        <v>1</v>
      </c>
      <c r="S73" s="216">
        <v>9</v>
      </c>
      <c r="T73" s="82">
        <v>7</v>
      </c>
      <c r="V73" s="128">
        <v>1</v>
      </c>
      <c r="W73" s="285">
        <v>9.8000000000000007</v>
      </c>
      <c r="X73" s="285"/>
    </row>
    <row r="74" spans="1:24" ht="13.5" thickBot="1" x14ac:dyDescent="0.25">
      <c r="B74" s="127" t="s">
        <v>890</v>
      </c>
      <c r="C74" s="123"/>
      <c r="D74" s="74"/>
      <c r="E74" s="108"/>
      <c r="F74" s="369"/>
      <c r="G74" s="585"/>
      <c r="H74" s="565"/>
      <c r="I74" s="565"/>
      <c r="J74" s="222"/>
      <c r="K74" s="82"/>
      <c r="L74" s="82"/>
      <c r="N74" s="265">
        <v>1</v>
      </c>
      <c r="O74" s="82">
        <v>8.4</v>
      </c>
      <c r="P74" s="82">
        <f>N74*O74</f>
        <v>8.4</v>
      </c>
      <c r="R74" s="128">
        <v>1</v>
      </c>
      <c r="S74" s="216">
        <v>8.4</v>
      </c>
      <c r="T74" s="82">
        <f>R74*S74</f>
        <v>8.4</v>
      </c>
      <c r="V74" s="128">
        <v>1</v>
      </c>
      <c r="W74" s="285">
        <v>7.7</v>
      </c>
      <c r="X74" s="285"/>
    </row>
    <row r="75" spans="1:24" x14ac:dyDescent="0.2">
      <c r="B75" s="127" t="s">
        <v>923</v>
      </c>
      <c r="C75" s="123"/>
      <c r="D75" s="74"/>
      <c r="E75" s="108"/>
      <c r="F75" s="369"/>
      <c r="G75" s="586"/>
      <c r="H75" s="566"/>
      <c r="I75" s="566"/>
      <c r="J75" s="222"/>
      <c r="K75" s="82"/>
      <c r="L75" s="82"/>
      <c r="N75" s="222">
        <v>1</v>
      </c>
      <c r="O75" s="82">
        <v>9</v>
      </c>
      <c r="P75" s="82">
        <f>N75*O75</f>
        <v>9</v>
      </c>
      <c r="R75" s="526">
        <v>1</v>
      </c>
      <c r="S75" s="216">
        <v>9</v>
      </c>
      <c r="T75" s="82">
        <v>7</v>
      </c>
      <c r="V75" s="380">
        <v>1</v>
      </c>
      <c r="W75" s="292">
        <v>8.5</v>
      </c>
      <c r="X75" s="285"/>
    </row>
    <row r="76" spans="1:24" s="4" customFormat="1" x14ac:dyDescent="0.2">
      <c r="A76" s="4" t="s">
        <v>809</v>
      </c>
      <c r="B76" s="24"/>
      <c r="C76" s="34" t="s">
        <v>180</v>
      </c>
      <c r="D76" s="70"/>
      <c r="E76" s="70"/>
      <c r="F76" s="351"/>
      <c r="G76" s="25"/>
      <c r="H76" s="26"/>
      <c r="I76" s="27">
        <f>SUM(I77:I84)</f>
        <v>120</v>
      </c>
      <c r="J76" s="25"/>
      <c r="K76" s="26"/>
      <c r="L76" s="27">
        <f>SUM(L77:L84)</f>
        <v>120</v>
      </c>
      <c r="N76" s="25"/>
      <c r="O76" s="26"/>
      <c r="P76" s="27">
        <f>SUM(P77:P84)</f>
        <v>120</v>
      </c>
      <c r="R76" s="525"/>
      <c r="S76" s="26"/>
      <c r="T76" s="27">
        <f>SUM(T77:T84)</f>
        <v>120</v>
      </c>
      <c r="U76"/>
      <c r="V76" s="364"/>
      <c r="W76" s="286"/>
      <c r="X76" s="287">
        <f>X77+X84</f>
        <v>115.9</v>
      </c>
    </row>
    <row r="77" spans="1:24" x14ac:dyDescent="0.2">
      <c r="B77" s="127" t="s">
        <v>123</v>
      </c>
      <c r="C77" s="123" t="s">
        <v>428</v>
      </c>
      <c r="D77" s="74"/>
      <c r="E77" s="108"/>
      <c r="F77" s="351"/>
      <c r="G77" s="584">
        <v>6</v>
      </c>
      <c r="H77" s="587">
        <v>12</v>
      </c>
      <c r="I77" s="587">
        <f t="shared" si="18"/>
        <v>72</v>
      </c>
      <c r="J77" s="128">
        <v>6</v>
      </c>
      <c r="K77" s="129">
        <v>12</v>
      </c>
      <c r="L77" s="129">
        <f t="shared" ref="L77:L84" si="32">J77*K77</f>
        <v>72</v>
      </c>
      <c r="N77" s="128">
        <v>6</v>
      </c>
      <c r="O77" s="129">
        <v>12</v>
      </c>
      <c r="P77" s="129">
        <f t="shared" ref="P77:P84" si="33">N77*O77</f>
        <v>72</v>
      </c>
      <c r="R77" s="128">
        <v>6</v>
      </c>
      <c r="S77" s="129">
        <v>12</v>
      </c>
      <c r="T77" s="129">
        <f t="shared" ref="T77:T84" si="34">R77*S77</f>
        <v>72</v>
      </c>
      <c r="V77" s="128">
        <v>6</v>
      </c>
      <c r="W77" s="518">
        <f>AVERAGE(W78:W83)</f>
        <v>10.5</v>
      </c>
      <c r="X77" s="298">
        <f>SUM(W78:W83)</f>
        <v>63</v>
      </c>
    </row>
    <row r="78" spans="1:24" x14ac:dyDescent="0.2">
      <c r="B78" s="127" t="s">
        <v>926</v>
      </c>
      <c r="C78" s="123"/>
      <c r="D78" s="74"/>
      <c r="E78" s="108"/>
      <c r="F78" s="351"/>
      <c r="G78" s="585"/>
      <c r="H78" s="588"/>
      <c r="I78" s="588"/>
      <c r="J78" s="128"/>
      <c r="K78" s="129"/>
      <c r="L78" s="129"/>
      <c r="N78" s="128"/>
      <c r="O78" s="129"/>
      <c r="P78" s="129"/>
      <c r="R78" s="128"/>
      <c r="S78" s="129"/>
      <c r="T78" s="129"/>
      <c r="V78" s="128">
        <v>1</v>
      </c>
      <c r="W78" s="298">
        <v>10.3</v>
      </c>
      <c r="X78" s="298"/>
    </row>
    <row r="79" spans="1:24" x14ac:dyDescent="0.2">
      <c r="B79" s="127" t="s">
        <v>927</v>
      </c>
      <c r="C79" s="123"/>
      <c r="D79" s="74"/>
      <c r="E79" s="108"/>
      <c r="F79" s="351"/>
      <c r="G79" s="585"/>
      <c r="H79" s="588"/>
      <c r="I79" s="588"/>
      <c r="J79" s="128"/>
      <c r="K79" s="129"/>
      <c r="L79" s="129"/>
      <c r="N79" s="128"/>
      <c r="O79" s="129"/>
      <c r="P79" s="129"/>
      <c r="R79" s="128"/>
      <c r="S79" s="129"/>
      <c r="T79" s="129"/>
      <c r="V79" s="128">
        <v>1</v>
      </c>
      <c r="W79" s="298">
        <v>10</v>
      </c>
      <c r="X79" s="298"/>
    </row>
    <row r="80" spans="1:24" x14ac:dyDescent="0.2">
      <c r="B80" s="127" t="s">
        <v>928</v>
      </c>
      <c r="C80" s="123"/>
      <c r="D80" s="74"/>
      <c r="E80" s="108"/>
      <c r="F80" s="351"/>
      <c r="G80" s="585"/>
      <c r="H80" s="588"/>
      <c r="I80" s="588"/>
      <c r="J80" s="128"/>
      <c r="K80" s="129"/>
      <c r="L80" s="129"/>
      <c r="N80" s="128"/>
      <c r="O80" s="129"/>
      <c r="P80" s="129"/>
      <c r="R80" s="128"/>
      <c r="S80" s="129"/>
      <c r="T80" s="129"/>
      <c r="V80" s="128">
        <v>1</v>
      </c>
      <c r="W80" s="298">
        <v>11.8</v>
      </c>
      <c r="X80" s="298"/>
    </row>
    <row r="81" spans="1:24" x14ac:dyDescent="0.2">
      <c r="B81" s="127" t="s">
        <v>929</v>
      </c>
      <c r="C81" s="123"/>
      <c r="D81" s="74"/>
      <c r="E81" s="108"/>
      <c r="F81" s="351"/>
      <c r="G81" s="585"/>
      <c r="H81" s="588"/>
      <c r="I81" s="588"/>
      <c r="J81" s="128"/>
      <c r="K81" s="129"/>
      <c r="L81" s="129"/>
      <c r="N81" s="128"/>
      <c r="O81" s="129"/>
      <c r="P81" s="129"/>
      <c r="R81" s="128"/>
      <c r="S81" s="129"/>
      <c r="T81" s="129"/>
      <c r="V81" s="128">
        <v>1</v>
      </c>
      <c r="W81" s="298">
        <v>10.3</v>
      </c>
      <c r="X81" s="298"/>
    </row>
    <row r="82" spans="1:24" x14ac:dyDescent="0.2">
      <c r="B82" s="127" t="s">
        <v>930</v>
      </c>
      <c r="C82" s="123"/>
      <c r="D82" s="74"/>
      <c r="E82" s="108"/>
      <c r="F82" s="351"/>
      <c r="G82" s="585"/>
      <c r="H82" s="588"/>
      <c r="I82" s="588"/>
      <c r="J82" s="128"/>
      <c r="K82" s="129"/>
      <c r="L82" s="129"/>
      <c r="N82" s="128"/>
      <c r="O82" s="129"/>
      <c r="P82" s="129"/>
      <c r="R82" s="128"/>
      <c r="S82" s="129"/>
      <c r="T82" s="129"/>
      <c r="V82" s="128">
        <v>1</v>
      </c>
      <c r="W82" s="298">
        <v>10.3</v>
      </c>
      <c r="X82" s="298"/>
    </row>
    <row r="83" spans="1:24" x14ac:dyDescent="0.2">
      <c r="B83" s="280" t="s">
        <v>931</v>
      </c>
      <c r="C83" s="183"/>
      <c r="D83" s="422"/>
      <c r="E83" s="334"/>
      <c r="F83" s="351"/>
      <c r="G83" s="586"/>
      <c r="H83" s="589"/>
      <c r="I83" s="589"/>
      <c r="J83" s="128"/>
      <c r="K83" s="129"/>
      <c r="L83" s="129"/>
      <c r="N83" s="128"/>
      <c r="O83" s="129"/>
      <c r="P83" s="129"/>
      <c r="R83" s="236"/>
      <c r="S83" s="438"/>
      <c r="T83" s="438"/>
      <c r="V83" s="236">
        <v>1</v>
      </c>
      <c r="W83" s="384">
        <v>10.3</v>
      </c>
      <c r="X83" s="298"/>
    </row>
    <row r="84" spans="1:24" ht="25.5" x14ac:dyDescent="0.2">
      <c r="B84" s="434" t="s">
        <v>861</v>
      </c>
      <c r="C84" s="397" t="s">
        <v>838</v>
      </c>
      <c r="D84" s="470"/>
      <c r="E84" s="435"/>
      <c r="F84" s="351"/>
      <c r="G84" s="584">
        <v>4</v>
      </c>
      <c r="H84" s="587">
        <v>12</v>
      </c>
      <c r="I84" s="587">
        <f t="shared" si="18"/>
        <v>48</v>
      </c>
      <c r="J84" s="128">
        <v>4</v>
      </c>
      <c r="K84" s="129">
        <v>12</v>
      </c>
      <c r="L84" s="129">
        <f t="shared" si="32"/>
        <v>48</v>
      </c>
      <c r="N84" s="128">
        <v>4</v>
      </c>
      <c r="O84" s="129">
        <v>12</v>
      </c>
      <c r="P84" s="129">
        <f t="shared" si="33"/>
        <v>48</v>
      </c>
      <c r="R84" s="425">
        <v>4</v>
      </c>
      <c r="S84" s="437">
        <v>12</v>
      </c>
      <c r="T84" s="437">
        <f t="shared" si="34"/>
        <v>48</v>
      </c>
      <c r="V84" s="430">
        <v>4</v>
      </c>
      <c r="W84" s="519">
        <f>AVERAGE(W85:W88)</f>
        <v>13.225000000000001</v>
      </c>
      <c r="X84" s="473">
        <f>SUM(W85:W88)</f>
        <v>52.900000000000006</v>
      </c>
    </row>
    <row r="85" spans="1:24" x14ac:dyDescent="0.2">
      <c r="B85" s="472" t="s">
        <v>932</v>
      </c>
      <c r="C85" s="123"/>
      <c r="D85" s="84"/>
      <c r="E85" s="108"/>
      <c r="F85" s="344"/>
      <c r="G85" s="585"/>
      <c r="H85" s="588"/>
      <c r="I85" s="588"/>
      <c r="J85" s="262"/>
      <c r="K85" s="264"/>
      <c r="L85" s="469"/>
      <c r="N85" s="262"/>
      <c r="O85" s="264"/>
      <c r="P85" s="469"/>
      <c r="R85" s="439"/>
      <c r="S85" s="264"/>
      <c r="T85" s="469"/>
      <c r="V85" s="128">
        <v>1</v>
      </c>
      <c r="W85" s="298">
        <v>14</v>
      </c>
      <c r="X85" s="298"/>
    </row>
    <row r="86" spans="1:24" x14ac:dyDescent="0.2">
      <c r="B86" s="472" t="s">
        <v>933</v>
      </c>
      <c r="C86" s="123"/>
      <c r="D86" s="84"/>
      <c r="E86" s="108"/>
      <c r="F86" s="344"/>
      <c r="G86" s="585"/>
      <c r="H86" s="588"/>
      <c r="I86" s="588"/>
      <c r="J86" s="262"/>
      <c r="K86" s="264"/>
      <c r="L86" s="469"/>
      <c r="N86" s="262"/>
      <c r="O86" s="264"/>
      <c r="P86" s="469"/>
      <c r="R86" s="439"/>
      <c r="S86" s="264"/>
      <c r="T86" s="469"/>
      <c r="V86" s="128">
        <v>1</v>
      </c>
      <c r="W86" s="298">
        <v>11.8</v>
      </c>
      <c r="X86" s="298"/>
    </row>
    <row r="87" spans="1:24" x14ac:dyDescent="0.2">
      <c r="B87" s="472" t="s">
        <v>934</v>
      </c>
      <c r="C87" s="123"/>
      <c r="D87" s="84"/>
      <c r="E87" s="108"/>
      <c r="F87" s="344"/>
      <c r="G87" s="585"/>
      <c r="H87" s="588"/>
      <c r="I87" s="588"/>
      <c r="J87" s="262"/>
      <c r="K87" s="264"/>
      <c r="L87" s="469"/>
      <c r="N87" s="262"/>
      <c r="O87" s="264"/>
      <c r="P87" s="469"/>
      <c r="R87" s="439"/>
      <c r="S87" s="264"/>
      <c r="T87" s="469"/>
      <c r="V87" s="128">
        <v>1</v>
      </c>
      <c r="W87" s="298">
        <v>12.9</v>
      </c>
      <c r="X87" s="298"/>
    </row>
    <row r="88" spans="1:24" x14ac:dyDescent="0.2">
      <c r="B88" s="472" t="s">
        <v>935</v>
      </c>
      <c r="C88" s="399"/>
      <c r="D88" s="471"/>
      <c r="E88" s="456"/>
      <c r="F88" s="344"/>
      <c r="G88" s="586"/>
      <c r="H88" s="589"/>
      <c r="I88" s="589"/>
      <c r="J88" s="262"/>
      <c r="K88" s="264"/>
      <c r="L88" s="469"/>
      <c r="N88" s="262"/>
      <c r="O88" s="264"/>
      <c r="P88" s="469"/>
      <c r="R88" s="441"/>
      <c r="S88" s="264"/>
      <c r="T88" s="469"/>
      <c r="V88" s="441">
        <v>1</v>
      </c>
      <c r="W88" s="385">
        <v>14.2</v>
      </c>
      <c r="X88" s="298"/>
    </row>
    <row r="89" spans="1:24" s="4" customFormat="1" x14ac:dyDescent="0.2">
      <c r="A89" s="4" t="s">
        <v>809</v>
      </c>
      <c r="B89" s="24"/>
      <c r="C89" s="34" t="s">
        <v>427</v>
      </c>
      <c r="D89" s="70"/>
      <c r="E89" s="474"/>
      <c r="F89" s="353"/>
      <c r="G89" s="466"/>
      <c r="H89" s="132"/>
      <c r="I89" s="133">
        <f>SUM(I90)</f>
        <v>250</v>
      </c>
      <c r="J89" s="131"/>
      <c r="K89" s="132"/>
      <c r="L89" s="133">
        <f>SUM(L90)</f>
        <v>250</v>
      </c>
      <c r="N89" s="131"/>
      <c r="O89" s="132"/>
      <c r="P89" s="133">
        <f>SUM(P90)</f>
        <v>256</v>
      </c>
      <c r="R89" s="466"/>
      <c r="S89" s="132"/>
      <c r="T89" s="133">
        <f>SUM(T90)</f>
        <v>256</v>
      </c>
      <c r="U89"/>
      <c r="V89" s="466"/>
      <c r="W89" s="299"/>
      <c r="X89" s="300">
        <f>SUM(X90)</f>
        <v>264.7</v>
      </c>
    </row>
    <row r="90" spans="1:24" ht="25.5" x14ac:dyDescent="0.2">
      <c r="B90" s="127" t="s">
        <v>124</v>
      </c>
      <c r="C90" s="123" t="s">
        <v>429</v>
      </c>
      <c r="D90" s="84"/>
      <c r="E90" s="108" t="s">
        <v>573</v>
      </c>
      <c r="F90" s="349"/>
      <c r="G90" s="128">
        <v>1</v>
      </c>
      <c r="H90" s="219">
        <f>250*1</f>
        <v>250</v>
      </c>
      <c r="I90" s="129">
        <f t="shared" si="18"/>
        <v>250</v>
      </c>
      <c r="J90" s="236">
        <v>1</v>
      </c>
      <c r="K90" s="235">
        <v>250</v>
      </c>
      <c r="L90" s="129">
        <f t="shared" ref="L90" si="35">J90*K90</f>
        <v>250</v>
      </c>
      <c r="N90" s="236">
        <v>1</v>
      </c>
      <c r="O90" s="235">
        <v>256</v>
      </c>
      <c r="P90" s="129">
        <f t="shared" ref="P90" si="36">N90*O90</f>
        <v>256</v>
      </c>
      <c r="R90" s="236">
        <v>1</v>
      </c>
      <c r="S90" s="235">
        <v>256</v>
      </c>
      <c r="T90" s="129">
        <f t="shared" ref="T90" si="37">R90*S90</f>
        <v>256</v>
      </c>
      <c r="V90" s="236">
        <v>1</v>
      </c>
      <c r="W90" s="301">
        <v>264.7</v>
      </c>
      <c r="X90" s="298">
        <f t="shared" ref="X90" si="38">V90*W90</f>
        <v>264.7</v>
      </c>
    </row>
    <row r="91" spans="1:24" ht="18" x14ac:dyDescent="0.25">
      <c r="A91" t="s">
        <v>809</v>
      </c>
      <c r="B91" s="544" t="s">
        <v>530</v>
      </c>
      <c r="C91" s="545"/>
      <c r="D91" s="545"/>
      <c r="E91" s="545"/>
      <c r="F91" s="349"/>
      <c r="G91" s="357"/>
      <c r="H91" s="357"/>
      <c r="I91" s="58">
        <f>I92</f>
        <v>123</v>
      </c>
      <c r="J91" s="237"/>
      <c r="K91" s="234"/>
      <c r="L91" s="58">
        <f>L92</f>
        <v>124.1</v>
      </c>
      <c r="N91" s="237"/>
      <c r="O91" s="234"/>
      <c r="P91" s="58">
        <f>P92</f>
        <v>120.7</v>
      </c>
      <c r="R91" s="237"/>
      <c r="S91" s="234"/>
      <c r="T91" s="58">
        <f>T92</f>
        <v>120.7</v>
      </c>
      <c r="V91" s="237"/>
      <c r="W91" s="302"/>
      <c r="X91" s="303">
        <f>X92</f>
        <v>122.9</v>
      </c>
    </row>
    <row r="92" spans="1:24" s="4" customFormat="1" ht="22.35" customHeight="1" x14ac:dyDescent="0.2">
      <c r="A92" s="4" t="s">
        <v>809</v>
      </c>
      <c r="B92" s="98"/>
      <c r="C92" s="99" t="s">
        <v>555</v>
      </c>
      <c r="D92" s="100"/>
      <c r="E92" s="100"/>
      <c r="F92" s="349"/>
      <c r="G92" s="101"/>
      <c r="H92" s="102"/>
      <c r="I92" s="103">
        <f>SUM(I93:I97)</f>
        <v>123</v>
      </c>
      <c r="J92" s="101"/>
      <c r="K92" s="102"/>
      <c r="L92" s="103">
        <f>SUM(L93:L97)</f>
        <v>124.1</v>
      </c>
      <c r="N92" s="101"/>
      <c r="O92" s="102"/>
      <c r="P92" s="103">
        <f>SUM(P93:P97)</f>
        <v>120.7</v>
      </c>
      <c r="R92" s="101"/>
      <c r="S92" s="102"/>
      <c r="T92" s="103">
        <f>SUM(T93:T97)</f>
        <v>120.7</v>
      </c>
      <c r="U92"/>
      <c r="V92" s="475"/>
      <c r="W92" s="304"/>
      <c r="X92" s="305">
        <f>SUM(X93:X97)</f>
        <v>122.9</v>
      </c>
    </row>
    <row r="93" spans="1:24" x14ac:dyDescent="0.2">
      <c r="B93" s="183" t="s">
        <v>736</v>
      </c>
      <c r="C93" s="183" t="s">
        <v>864</v>
      </c>
      <c r="D93" s="422"/>
      <c r="E93" s="154" t="s">
        <v>863</v>
      </c>
      <c r="F93" s="349"/>
      <c r="G93" s="154">
        <v>1</v>
      </c>
      <c r="H93" s="231">
        <f>75</f>
        <v>75</v>
      </c>
      <c r="I93" s="231">
        <f t="shared" ref="I93:I97" si="39">G93*H93</f>
        <v>75</v>
      </c>
      <c r="J93" s="81">
        <v>1</v>
      </c>
      <c r="K93" s="82">
        <v>76.099999999999994</v>
      </c>
      <c r="L93" s="82">
        <f t="shared" ref="L93:L97" si="40">J93*K93</f>
        <v>76.099999999999994</v>
      </c>
      <c r="N93" s="81">
        <v>1</v>
      </c>
      <c r="O93" s="82">
        <v>73.400000000000006</v>
      </c>
      <c r="P93" s="82">
        <f t="shared" ref="P93:P97" si="41">N93*O93</f>
        <v>73.400000000000006</v>
      </c>
      <c r="R93" s="154">
        <v>1</v>
      </c>
      <c r="S93" s="231">
        <v>73.400000000000006</v>
      </c>
      <c r="T93" s="231">
        <f t="shared" ref="T93:T97" si="42">R93*S93</f>
        <v>73.400000000000006</v>
      </c>
      <c r="V93" s="154">
        <v>1</v>
      </c>
      <c r="W93" s="289">
        <v>72.2</v>
      </c>
      <c r="X93" s="289">
        <f t="shared" ref="X93:X97" si="43">V93*W93</f>
        <v>72.2</v>
      </c>
    </row>
    <row r="94" spans="1:24" ht="25.5" x14ac:dyDescent="0.2">
      <c r="B94" s="402" t="s">
        <v>737</v>
      </c>
      <c r="C94" s="402" t="s">
        <v>835</v>
      </c>
      <c r="D94" s="476"/>
      <c r="E94" s="477"/>
      <c r="F94" s="349"/>
      <c r="G94" s="366">
        <v>1</v>
      </c>
      <c r="H94" s="367">
        <v>12</v>
      </c>
      <c r="I94" s="367">
        <f t="shared" si="39"/>
        <v>12</v>
      </c>
      <c r="J94" s="81">
        <v>1</v>
      </c>
      <c r="K94" s="82">
        <v>12</v>
      </c>
      <c r="L94" s="82">
        <f t="shared" si="40"/>
        <v>12</v>
      </c>
      <c r="N94" s="81">
        <v>1</v>
      </c>
      <c r="O94" s="82">
        <v>12.3</v>
      </c>
      <c r="P94" s="82">
        <f t="shared" si="41"/>
        <v>12.3</v>
      </c>
      <c r="R94" s="366">
        <v>1</v>
      </c>
      <c r="S94" s="367">
        <v>12.3</v>
      </c>
      <c r="T94" s="367">
        <f t="shared" si="42"/>
        <v>12.3</v>
      </c>
      <c r="V94" s="366">
        <v>1</v>
      </c>
      <c r="W94" s="394">
        <v>12</v>
      </c>
      <c r="X94" s="394">
        <f t="shared" si="43"/>
        <v>12</v>
      </c>
    </row>
    <row r="95" spans="1:24" x14ac:dyDescent="0.2">
      <c r="B95" s="402" t="s">
        <v>738</v>
      </c>
      <c r="C95" s="402" t="s">
        <v>418</v>
      </c>
      <c r="D95" s="476"/>
      <c r="E95" s="366" t="s">
        <v>865</v>
      </c>
      <c r="F95" s="354"/>
      <c r="G95" s="366">
        <v>1</v>
      </c>
      <c r="H95" s="367">
        <v>20</v>
      </c>
      <c r="I95" s="367">
        <f t="shared" si="39"/>
        <v>20</v>
      </c>
      <c r="J95" s="81">
        <v>1</v>
      </c>
      <c r="K95" s="82">
        <v>20</v>
      </c>
      <c r="L95" s="82">
        <f t="shared" si="40"/>
        <v>20</v>
      </c>
      <c r="N95" s="81">
        <v>1</v>
      </c>
      <c r="O95" s="82">
        <v>15.4</v>
      </c>
      <c r="P95" s="82">
        <f t="shared" si="41"/>
        <v>15.4</v>
      </c>
      <c r="R95" s="366">
        <v>1</v>
      </c>
      <c r="S95" s="367">
        <v>15.4</v>
      </c>
      <c r="T95" s="367">
        <f t="shared" si="42"/>
        <v>15.4</v>
      </c>
      <c r="V95" s="366">
        <v>1</v>
      </c>
      <c r="W95" s="394">
        <v>14</v>
      </c>
      <c r="X95" s="394">
        <f t="shared" si="43"/>
        <v>14</v>
      </c>
    </row>
    <row r="96" spans="1:24" x14ac:dyDescent="0.2">
      <c r="B96" s="402" t="s">
        <v>739</v>
      </c>
      <c r="C96" s="402" t="s">
        <v>647</v>
      </c>
      <c r="D96" s="476"/>
      <c r="E96" s="366"/>
      <c r="F96" s="354"/>
      <c r="G96" s="366">
        <v>1</v>
      </c>
      <c r="H96" s="367">
        <v>4</v>
      </c>
      <c r="I96" s="367">
        <f t="shared" si="39"/>
        <v>4</v>
      </c>
      <c r="J96" s="81">
        <v>1</v>
      </c>
      <c r="K96" s="82">
        <v>4</v>
      </c>
      <c r="L96" s="82">
        <f t="shared" si="40"/>
        <v>4</v>
      </c>
      <c r="N96" s="81">
        <v>1</v>
      </c>
      <c r="O96" s="82">
        <v>4.8</v>
      </c>
      <c r="P96" s="82">
        <f t="shared" si="41"/>
        <v>4.8</v>
      </c>
      <c r="R96" s="366">
        <v>1</v>
      </c>
      <c r="S96" s="367">
        <v>4.8</v>
      </c>
      <c r="T96" s="367">
        <f t="shared" si="42"/>
        <v>4.8</v>
      </c>
      <c r="V96" s="366">
        <v>1</v>
      </c>
      <c r="W96" s="394">
        <v>4.5</v>
      </c>
      <c r="X96" s="394">
        <f t="shared" si="43"/>
        <v>4.5</v>
      </c>
    </row>
    <row r="97" spans="1:24" x14ac:dyDescent="0.2">
      <c r="B97" s="448" t="s">
        <v>855</v>
      </c>
      <c r="C97" s="448" t="s">
        <v>556</v>
      </c>
      <c r="D97" s="76"/>
      <c r="E97" s="391" t="s">
        <v>558</v>
      </c>
      <c r="F97" s="354"/>
      <c r="G97" s="391">
        <v>1</v>
      </c>
      <c r="H97" s="392">
        <v>12</v>
      </c>
      <c r="I97" s="392">
        <f t="shared" si="39"/>
        <v>12</v>
      </c>
      <c r="J97" s="154">
        <v>1</v>
      </c>
      <c r="K97" s="231">
        <v>12</v>
      </c>
      <c r="L97" s="82">
        <f t="shared" si="40"/>
        <v>12</v>
      </c>
      <c r="N97" s="154">
        <v>1</v>
      </c>
      <c r="O97" s="231">
        <v>14.8</v>
      </c>
      <c r="P97" s="82">
        <f t="shared" si="41"/>
        <v>14.8</v>
      </c>
      <c r="R97" s="354">
        <v>1</v>
      </c>
      <c r="S97" s="332">
        <v>14.8</v>
      </c>
      <c r="T97" s="392">
        <f t="shared" si="42"/>
        <v>14.8</v>
      </c>
      <c r="V97" s="354">
        <v>1</v>
      </c>
      <c r="W97" s="333">
        <v>20.2</v>
      </c>
      <c r="X97" s="393">
        <f t="shared" si="43"/>
        <v>20.2</v>
      </c>
    </row>
    <row r="98" spans="1:24" ht="18" x14ac:dyDescent="0.25">
      <c r="A98" t="s">
        <v>809</v>
      </c>
      <c r="B98" s="546" t="s">
        <v>173</v>
      </c>
      <c r="C98" s="547"/>
      <c r="D98" s="547"/>
      <c r="E98" s="547"/>
      <c r="F98" s="354"/>
      <c r="G98" s="358"/>
      <c r="H98" s="358"/>
      <c r="I98" s="57">
        <f>I99+I105</f>
        <v>553</v>
      </c>
      <c r="J98" s="239"/>
      <c r="K98" s="238"/>
      <c r="L98" s="57">
        <f>L99+L105</f>
        <v>585.40000000000009</v>
      </c>
      <c r="N98" s="239"/>
      <c r="O98" s="238"/>
      <c r="P98" s="57">
        <f>P99+P105</f>
        <v>664.99999999999989</v>
      </c>
      <c r="R98" s="239"/>
      <c r="S98" s="238"/>
      <c r="T98" s="57">
        <f>T99+T105</f>
        <v>664.99999999999989</v>
      </c>
      <c r="V98" s="239"/>
      <c r="W98" s="306"/>
      <c r="X98" s="307">
        <f>X99+X105</f>
        <v>666.6</v>
      </c>
    </row>
    <row r="99" spans="1:24" s="4" customFormat="1" x14ac:dyDescent="0.2">
      <c r="A99" s="4" t="s">
        <v>809</v>
      </c>
      <c r="B99" s="24"/>
      <c r="C99" s="182" t="s">
        <v>608</v>
      </c>
      <c r="D99" s="70"/>
      <c r="E99" s="70"/>
      <c r="F99" s="354"/>
      <c r="G99" s="25"/>
      <c r="H99" s="26"/>
      <c r="I99" s="27">
        <f>SUM(I100:I102)</f>
        <v>86</v>
      </c>
      <c r="J99" s="25"/>
      <c r="K99" s="26"/>
      <c r="L99" s="27">
        <f>SUM(L100:L102)</f>
        <v>85.7</v>
      </c>
      <c r="N99" s="25"/>
      <c r="O99" s="26"/>
      <c r="P99" s="27">
        <f>SUM(P100:P102)</f>
        <v>109.3</v>
      </c>
      <c r="R99" s="25"/>
      <c r="S99" s="26"/>
      <c r="T99" s="27">
        <f>SUM(T100:T102)</f>
        <v>109.3</v>
      </c>
      <c r="U99"/>
      <c r="V99" s="25"/>
      <c r="W99" s="286"/>
      <c r="X99" s="287">
        <f>SUM(X100:X102)</f>
        <v>120.9</v>
      </c>
    </row>
    <row r="100" spans="1:24" x14ac:dyDescent="0.2">
      <c r="B100" s="45" t="s">
        <v>740</v>
      </c>
      <c r="C100" s="183" t="s">
        <v>588</v>
      </c>
      <c r="D100" s="396">
        <v>4</v>
      </c>
      <c r="E100" s="334" t="s">
        <v>589</v>
      </c>
      <c r="F100" s="351"/>
      <c r="G100" s="487">
        <v>1</v>
      </c>
      <c r="H100" s="489">
        <f>4*8</f>
        <v>32</v>
      </c>
      <c r="I100" s="489">
        <f>G100*H100</f>
        <v>32</v>
      </c>
      <c r="J100" s="18">
        <v>1</v>
      </c>
      <c r="K100" s="12">
        <v>33.700000000000003</v>
      </c>
      <c r="L100" s="19">
        <f>J100*K100</f>
        <v>33.700000000000003</v>
      </c>
      <c r="N100" s="18">
        <v>1</v>
      </c>
      <c r="O100" s="12">
        <v>50.9</v>
      </c>
      <c r="P100" s="19">
        <f>N100*O100</f>
        <v>50.9</v>
      </c>
      <c r="R100" s="487">
        <v>1</v>
      </c>
      <c r="S100" s="488">
        <v>50.9</v>
      </c>
      <c r="T100" s="489">
        <f>R100*S100</f>
        <v>50.9</v>
      </c>
      <c r="V100" s="487">
        <v>1</v>
      </c>
      <c r="W100" s="490">
        <v>47.4</v>
      </c>
      <c r="X100" s="490">
        <f>V100*W100</f>
        <v>47.4</v>
      </c>
    </row>
    <row r="101" spans="1:24" x14ac:dyDescent="0.2">
      <c r="B101" s="481" t="s">
        <v>745</v>
      </c>
      <c r="C101" s="402" t="s">
        <v>866</v>
      </c>
      <c r="D101" s="404"/>
      <c r="E101" s="390" t="s">
        <v>870</v>
      </c>
      <c r="F101" s="344"/>
      <c r="G101" s="486">
        <v>1</v>
      </c>
      <c r="H101" s="379">
        <v>22</v>
      </c>
      <c r="I101" s="379">
        <f>G101*H101</f>
        <v>22</v>
      </c>
      <c r="J101" s="18">
        <v>1</v>
      </c>
      <c r="K101" s="12">
        <v>20</v>
      </c>
      <c r="L101" s="19">
        <f>J101*K101</f>
        <v>20</v>
      </c>
      <c r="N101" s="18">
        <v>1</v>
      </c>
      <c r="O101" s="12">
        <v>22.4</v>
      </c>
      <c r="P101" s="19">
        <f>N101*O101</f>
        <v>22.4</v>
      </c>
      <c r="R101" s="487">
        <v>1</v>
      </c>
      <c r="S101" s="488">
        <v>22.4</v>
      </c>
      <c r="T101" s="489">
        <f>R101*S101</f>
        <v>22.4</v>
      </c>
      <c r="V101" s="487">
        <v>1</v>
      </c>
      <c r="W101" s="490">
        <v>22.8</v>
      </c>
      <c r="X101" s="490">
        <f>V101*W101</f>
        <v>22.8</v>
      </c>
    </row>
    <row r="102" spans="1:24" x14ac:dyDescent="0.2">
      <c r="B102" s="482" t="s">
        <v>741</v>
      </c>
      <c r="C102" s="397" t="s">
        <v>962</v>
      </c>
      <c r="D102" s="426"/>
      <c r="E102" s="279"/>
      <c r="F102" s="480"/>
      <c r="G102" s="590">
        <v>1</v>
      </c>
      <c r="H102" s="583">
        <v>32</v>
      </c>
      <c r="I102" s="583">
        <f>G102*H102</f>
        <v>32</v>
      </c>
      <c r="J102" s="18">
        <v>1</v>
      </c>
      <c r="K102" s="12">
        <v>32</v>
      </c>
      <c r="L102" s="19">
        <f>J102*K102</f>
        <v>32</v>
      </c>
      <c r="M102" s="4"/>
      <c r="N102" s="18">
        <v>1</v>
      </c>
      <c r="O102" s="12">
        <v>36</v>
      </c>
      <c r="P102" s="19">
        <f>N102*O102</f>
        <v>36</v>
      </c>
      <c r="R102" s="53">
        <v>1</v>
      </c>
      <c r="S102" s="54">
        <v>36</v>
      </c>
      <c r="T102" s="55">
        <f>R102*S102</f>
        <v>36</v>
      </c>
      <c r="V102" s="53"/>
      <c r="W102" s="408"/>
      <c r="X102" s="408">
        <f>W103+W104</f>
        <v>50.7</v>
      </c>
    </row>
    <row r="103" spans="1:24" x14ac:dyDescent="0.2">
      <c r="B103" s="17" t="s">
        <v>936</v>
      </c>
      <c r="C103" s="492" t="s">
        <v>422</v>
      </c>
      <c r="D103" s="74"/>
      <c r="E103" s="493"/>
      <c r="G103" s="591"/>
      <c r="H103" s="565"/>
      <c r="I103" s="565"/>
      <c r="K103" s="478"/>
      <c r="L103" s="479"/>
      <c r="M103" s="4"/>
      <c r="N103" s="11"/>
      <c r="O103" s="478"/>
      <c r="P103" s="479"/>
      <c r="R103" s="484"/>
      <c r="S103" s="48"/>
      <c r="T103" s="479"/>
      <c r="V103" s="494">
        <v>1</v>
      </c>
      <c r="W103" s="112">
        <v>42.6</v>
      </c>
      <c r="X103" s="112"/>
    </row>
    <row r="104" spans="1:24" x14ac:dyDescent="0.2">
      <c r="B104" s="42" t="s">
        <v>937</v>
      </c>
      <c r="C104" s="491" t="s">
        <v>938</v>
      </c>
      <c r="D104" s="75"/>
      <c r="E104" s="459"/>
      <c r="G104" s="592"/>
      <c r="H104" s="566"/>
      <c r="I104" s="566"/>
      <c r="K104" s="478"/>
      <c r="L104" s="479"/>
      <c r="M104" s="4"/>
      <c r="N104" s="11"/>
      <c r="O104" s="478"/>
      <c r="P104" s="479"/>
      <c r="R104" s="500"/>
      <c r="S104" s="485"/>
      <c r="T104" s="479"/>
      <c r="V104" s="376">
        <v>1</v>
      </c>
      <c r="W104" s="495">
        <v>8.1</v>
      </c>
      <c r="X104" s="112"/>
    </row>
    <row r="105" spans="1:24" s="4" customFormat="1" x14ac:dyDescent="0.2">
      <c r="A105" s="4" t="s">
        <v>809</v>
      </c>
      <c r="B105" s="24"/>
      <c r="C105" s="182" t="s">
        <v>442</v>
      </c>
      <c r="D105" s="70"/>
      <c r="E105" s="363"/>
      <c r="F105" s="348"/>
      <c r="G105" s="364"/>
      <c r="H105" s="26"/>
      <c r="I105" s="27">
        <f>SUM(I106:I130)</f>
        <v>467</v>
      </c>
      <c r="J105" s="25"/>
      <c r="K105" s="26"/>
      <c r="L105" s="27">
        <f>SUM(L106:L130)</f>
        <v>499.70000000000005</v>
      </c>
      <c r="N105" s="25"/>
      <c r="O105" s="26"/>
      <c r="P105" s="27">
        <f>SUM(P106:P130)</f>
        <v>555.69999999999993</v>
      </c>
      <c r="R105" s="364"/>
      <c r="S105" s="26"/>
      <c r="T105" s="27">
        <f>SUM(T106:T130)</f>
        <v>555.69999999999993</v>
      </c>
      <c r="U105"/>
      <c r="V105" s="364"/>
      <c r="W105" s="286"/>
      <c r="X105" s="287">
        <f>SUM(X106:X110)+X119+SUM(X124:X130)</f>
        <v>545.70000000000005</v>
      </c>
    </row>
    <row r="106" spans="1:24" x14ac:dyDescent="0.2">
      <c r="B106" s="280" t="s">
        <v>743</v>
      </c>
      <c r="C106" s="183" t="s">
        <v>535</v>
      </c>
      <c r="D106" s="422"/>
      <c r="E106" s="334" t="s">
        <v>563</v>
      </c>
      <c r="F106" s="351"/>
      <c r="G106" s="47">
        <v>1</v>
      </c>
      <c r="H106" s="49">
        <v>20</v>
      </c>
      <c r="I106" s="49">
        <f t="shared" ref="I106:I130" si="44">G106*H106</f>
        <v>20</v>
      </c>
      <c r="J106" s="18">
        <v>1</v>
      </c>
      <c r="K106" s="19">
        <v>38.5</v>
      </c>
      <c r="L106" s="19">
        <f t="shared" ref="L106:L126" si="45">J106*K106</f>
        <v>38.5</v>
      </c>
      <c r="N106" s="18">
        <v>1</v>
      </c>
      <c r="O106" s="19">
        <v>40</v>
      </c>
      <c r="P106" s="19">
        <f t="shared" ref="P106:P126" si="46">N106*O106</f>
        <v>40</v>
      </c>
      <c r="R106" s="47">
        <v>1</v>
      </c>
      <c r="S106" s="49">
        <v>40</v>
      </c>
      <c r="T106" s="49">
        <f t="shared" ref="T106:T126" si="47">R106*S106</f>
        <v>40</v>
      </c>
      <c r="V106" s="47">
        <v>1</v>
      </c>
      <c r="W106" s="240">
        <v>43.1</v>
      </c>
      <c r="X106" s="240">
        <f t="shared" ref="X106:X126" si="48">V106*W106</f>
        <v>43.1</v>
      </c>
    </row>
    <row r="107" spans="1:24" x14ac:dyDescent="0.2">
      <c r="B107" s="412" t="s">
        <v>746</v>
      </c>
      <c r="C107" s="402" t="s">
        <v>820</v>
      </c>
      <c r="D107" s="476"/>
      <c r="E107" s="390"/>
      <c r="F107" s="351"/>
      <c r="G107" s="487">
        <v>1</v>
      </c>
      <c r="H107" s="489">
        <v>2</v>
      </c>
      <c r="I107" s="489">
        <f t="shared" si="44"/>
        <v>2</v>
      </c>
      <c r="J107" s="18">
        <v>1</v>
      </c>
      <c r="K107" s="19">
        <v>2</v>
      </c>
      <c r="L107" s="19">
        <f t="shared" si="45"/>
        <v>2</v>
      </c>
      <c r="N107" s="18">
        <v>1</v>
      </c>
      <c r="O107" s="19">
        <v>2</v>
      </c>
      <c r="P107" s="19">
        <f t="shared" si="46"/>
        <v>2</v>
      </c>
      <c r="R107" s="487">
        <v>1</v>
      </c>
      <c r="S107" s="489">
        <v>2</v>
      </c>
      <c r="T107" s="489">
        <f t="shared" si="47"/>
        <v>2</v>
      </c>
      <c r="V107" s="487">
        <v>1</v>
      </c>
      <c r="W107" s="490">
        <v>2</v>
      </c>
      <c r="X107" s="490">
        <f t="shared" si="48"/>
        <v>2</v>
      </c>
    </row>
    <row r="108" spans="1:24" x14ac:dyDescent="0.2">
      <c r="B108" s="412" t="s">
        <v>747</v>
      </c>
      <c r="C108" s="402" t="s">
        <v>564</v>
      </c>
      <c r="D108" s="476"/>
      <c r="E108" s="390"/>
      <c r="F108" s="351"/>
      <c r="G108" s="487">
        <v>1</v>
      </c>
      <c r="H108" s="489">
        <v>2</v>
      </c>
      <c r="I108" s="489">
        <f t="shared" si="44"/>
        <v>2</v>
      </c>
      <c r="J108" s="18">
        <v>1</v>
      </c>
      <c r="K108" s="19">
        <v>2</v>
      </c>
      <c r="L108" s="19">
        <f t="shared" si="45"/>
        <v>2</v>
      </c>
      <c r="N108" s="18">
        <v>1</v>
      </c>
      <c r="O108" s="19">
        <v>2</v>
      </c>
      <c r="P108" s="19">
        <f t="shared" si="46"/>
        <v>2</v>
      </c>
      <c r="R108" s="487">
        <v>1</v>
      </c>
      <c r="S108" s="489">
        <v>2</v>
      </c>
      <c r="T108" s="489">
        <f t="shared" si="47"/>
        <v>2</v>
      </c>
      <c r="V108" s="487">
        <v>1</v>
      </c>
      <c r="W108" s="490">
        <v>2</v>
      </c>
      <c r="X108" s="490">
        <f t="shared" si="48"/>
        <v>2</v>
      </c>
    </row>
    <row r="109" spans="1:24" x14ac:dyDescent="0.2">
      <c r="B109" s="412" t="s">
        <v>856</v>
      </c>
      <c r="C109" s="402" t="s">
        <v>536</v>
      </c>
      <c r="D109" s="476"/>
      <c r="E109" s="390"/>
      <c r="F109" s="351"/>
      <c r="G109" s="487">
        <v>1</v>
      </c>
      <c r="H109" s="489">
        <v>20</v>
      </c>
      <c r="I109" s="489">
        <f t="shared" si="44"/>
        <v>20</v>
      </c>
      <c r="J109" s="18">
        <v>1</v>
      </c>
      <c r="K109" s="19">
        <v>31.4</v>
      </c>
      <c r="L109" s="19">
        <f t="shared" si="45"/>
        <v>31.4</v>
      </c>
      <c r="N109" s="18">
        <v>1</v>
      </c>
      <c r="O109" s="19">
        <v>43.7</v>
      </c>
      <c r="P109" s="19">
        <f t="shared" si="46"/>
        <v>43.7</v>
      </c>
      <c r="R109" s="406">
        <v>1</v>
      </c>
      <c r="S109" s="479">
        <v>43.7</v>
      </c>
      <c r="T109" s="479">
        <f t="shared" si="47"/>
        <v>43.7</v>
      </c>
      <c r="V109" s="487">
        <v>1</v>
      </c>
      <c r="W109" s="490">
        <v>41.9</v>
      </c>
      <c r="X109" s="490">
        <f t="shared" si="48"/>
        <v>41.9</v>
      </c>
    </row>
    <row r="110" spans="1:24" x14ac:dyDescent="0.2">
      <c r="B110" s="173" t="s">
        <v>742</v>
      </c>
      <c r="C110" s="448" t="s">
        <v>821</v>
      </c>
      <c r="D110" s="76"/>
      <c r="E110" s="596" t="s">
        <v>568</v>
      </c>
      <c r="F110" s="351"/>
      <c r="G110" s="590">
        <v>8</v>
      </c>
      <c r="H110" s="583">
        <v>4</v>
      </c>
      <c r="I110" s="583">
        <f t="shared" si="44"/>
        <v>32</v>
      </c>
      <c r="J110" s="18">
        <v>8</v>
      </c>
      <c r="K110" s="19">
        <v>4</v>
      </c>
      <c r="L110" s="19">
        <f t="shared" si="45"/>
        <v>32</v>
      </c>
      <c r="N110" s="18">
        <v>8</v>
      </c>
      <c r="O110" s="19">
        <v>4</v>
      </c>
      <c r="P110" s="19">
        <f t="shared" si="46"/>
        <v>32</v>
      </c>
      <c r="R110" s="14">
        <v>8</v>
      </c>
      <c r="S110" s="16">
        <v>4</v>
      </c>
      <c r="T110" s="16">
        <f t="shared" si="47"/>
        <v>32</v>
      </c>
      <c r="V110" s="53">
        <v>8</v>
      </c>
      <c r="W110" s="520">
        <f>AVERAGE(W111:W118)</f>
        <v>3.9750000000000001</v>
      </c>
      <c r="X110" s="408">
        <f>SUM(W111:W118)</f>
        <v>31.8</v>
      </c>
    </row>
    <row r="111" spans="1:24" x14ac:dyDescent="0.2">
      <c r="B111" s="127" t="s">
        <v>939</v>
      </c>
      <c r="C111" s="123"/>
      <c r="D111" s="74"/>
      <c r="E111" s="597"/>
      <c r="F111" s="351"/>
      <c r="G111" s="591"/>
      <c r="H111" s="565"/>
      <c r="I111" s="565"/>
      <c r="J111" s="18"/>
      <c r="K111" s="19"/>
      <c r="L111" s="19"/>
      <c r="N111" s="18"/>
      <c r="O111" s="19"/>
      <c r="P111" s="19"/>
      <c r="R111" s="18"/>
      <c r="S111" s="19"/>
      <c r="T111" s="19"/>
      <c r="V111" s="18">
        <v>1</v>
      </c>
      <c r="W111" s="112">
        <v>4.7</v>
      </c>
      <c r="X111" s="112"/>
    </row>
    <row r="112" spans="1:24" x14ac:dyDescent="0.2">
      <c r="B112" s="127" t="s">
        <v>940</v>
      </c>
      <c r="C112" s="123"/>
      <c r="D112" s="74"/>
      <c r="E112" s="597"/>
      <c r="F112" s="351"/>
      <c r="G112" s="591"/>
      <c r="H112" s="565"/>
      <c r="I112" s="565"/>
      <c r="J112" s="18"/>
      <c r="K112" s="19"/>
      <c r="L112" s="19"/>
      <c r="N112" s="18"/>
      <c r="O112" s="19"/>
      <c r="P112" s="19"/>
      <c r="R112" s="18"/>
      <c r="S112" s="19"/>
      <c r="T112" s="19"/>
      <c r="V112" s="18">
        <v>1</v>
      </c>
      <c r="W112" s="112">
        <v>3.8</v>
      </c>
      <c r="X112" s="112"/>
    </row>
    <row r="113" spans="2:24" x14ac:dyDescent="0.2">
      <c r="B113" s="127" t="s">
        <v>941</v>
      </c>
      <c r="C113" s="123"/>
      <c r="D113" s="74"/>
      <c r="E113" s="597"/>
      <c r="F113" s="351"/>
      <c r="G113" s="591"/>
      <c r="H113" s="565"/>
      <c r="I113" s="565"/>
      <c r="J113" s="18"/>
      <c r="K113" s="19"/>
      <c r="L113" s="19"/>
      <c r="N113" s="18"/>
      <c r="O113" s="19"/>
      <c r="P113" s="19"/>
      <c r="R113" s="18"/>
      <c r="S113" s="19"/>
      <c r="T113" s="19"/>
      <c r="V113" s="18">
        <v>1</v>
      </c>
      <c r="W113" s="112">
        <v>3.8</v>
      </c>
      <c r="X113" s="112"/>
    </row>
    <row r="114" spans="2:24" x14ac:dyDescent="0.2">
      <c r="B114" s="127" t="s">
        <v>942</v>
      </c>
      <c r="C114" s="123"/>
      <c r="D114" s="74"/>
      <c r="E114" s="597"/>
      <c r="F114" s="351"/>
      <c r="G114" s="591"/>
      <c r="H114" s="565"/>
      <c r="I114" s="565"/>
      <c r="J114" s="18"/>
      <c r="K114" s="19"/>
      <c r="L114" s="19"/>
      <c r="N114" s="18"/>
      <c r="O114" s="19"/>
      <c r="P114" s="19"/>
      <c r="R114" s="18"/>
      <c r="S114" s="19"/>
      <c r="T114" s="19"/>
      <c r="V114" s="18">
        <v>1</v>
      </c>
      <c r="W114" s="112">
        <v>4</v>
      </c>
      <c r="X114" s="112"/>
    </row>
    <row r="115" spans="2:24" x14ac:dyDescent="0.2">
      <c r="B115" s="127" t="s">
        <v>943</v>
      </c>
      <c r="C115" s="123"/>
      <c r="D115" s="74"/>
      <c r="E115" s="597"/>
      <c r="F115" s="351"/>
      <c r="G115" s="591"/>
      <c r="H115" s="565"/>
      <c r="I115" s="565"/>
      <c r="J115" s="18"/>
      <c r="K115" s="19"/>
      <c r="L115" s="19"/>
      <c r="N115" s="18"/>
      <c r="O115" s="19"/>
      <c r="P115" s="19"/>
      <c r="R115" s="18"/>
      <c r="S115" s="19"/>
      <c r="T115" s="19"/>
      <c r="V115" s="18">
        <v>1</v>
      </c>
      <c r="W115" s="112">
        <v>4</v>
      </c>
      <c r="X115" s="112"/>
    </row>
    <row r="116" spans="2:24" x14ac:dyDescent="0.2">
      <c r="B116" s="127" t="s">
        <v>944</v>
      </c>
      <c r="C116" s="123"/>
      <c r="D116" s="74"/>
      <c r="E116" s="597"/>
      <c r="F116" s="351"/>
      <c r="G116" s="591"/>
      <c r="H116" s="565"/>
      <c r="I116" s="565"/>
      <c r="J116" s="18"/>
      <c r="K116" s="19"/>
      <c r="L116" s="19"/>
      <c r="N116" s="18"/>
      <c r="O116" s="19"/>
      <c r="P116" s="19"/>
      <c r="R116" s="18"/>
      <c r="S116" s="19"/>
      <c r="T116" s="19"/>
      <c r="V116" s="18">
        <v>1</v>
      </c>
      <c r="W116" s="112">
        <v>4</v>
      </c>
      <c r="X116" s="112"/>
    </row>
    <row r="117" spans="2:24" x14ac:dyDescent="0.2">
      <c r="B117" s="127" t="s">
        <v>945</v>
      </c>
      <c r="C117" s="123"/>
      <c r="D117" s="74"/>
      <c r="E117" s="597"/>
      <c r="F117" s="351"/>
      <c r="G117" s="591"/>
      <c r="H117" s="565"/>
      <c r="I117" s="565"/>
      <c r="J117" s="18"/>
      <c r="K117" s="19"/>
      <c r="L117" s="19"/>
      <c r="N117" s="18"/>
      <c r="O117" s="19"/>
      <c r="P117" s="19"/>
      <c r="R117" s="18"/>
      <c r="S117" s="19"/>
      <c r="T117" s="19"/>
      <c r="V117" s="18">
        <v>1</v>
      </c>
      <c r="W117" s="112">
        <v>4</v>
      </c>
      <c r="X117" s="112"/>
    </row>
    <row r="118" spans="2:24" x14ac:dyDescent="0.2">
      <c r="B118" s="280" t="s">
        <v>946</v>
      </c>
      <c r="C118" s="183"/>
      <c r="D118" s="422"/>
      <c r="E118" s="597"/>
      <c r="F118" s="351"/>
      <c r="G118" s="591"/>
      <c r="H118" s="565"/>
      <c r="I118" s="565"/>
      <c r="J118" s="18"/>
      <c r="K118" s="19"/>
      <c r="L118" s="19"/>
      <c r="N118" s="18"/>
      <c r="O118" s="19"/>
      <c r="P118" s="19"/>
      <c r="R118" s="47"/>
      <c r="S118" s="49"/>
      <c r="T118" s="49"/>
      <c r="V118" s="47">
        <v>1</v>
      </c>
      <c r="W118" s="240">
        <v>3.5</v>
      </c>
      <c r="X118" s="240"/>
    </row>
    <row r="119" spans="2:24" x14ac:dyDescent="0.2">
      <c r="B119" s="172" t="s">
        <v>748</v>
      </c>
      <c r="C119" s="135" t="s">
        <v>569</v>
      </c>
      <c r="D119" s="423"/>
      <c r="E119" s="596" t="s">
        <v>570</v>
      </c>
      <c r="F119" s="351"/>
      <c r="G119" s="590">
        <v>4</v>
      </c>
      <c r="H119" s="583">
        <v>10</v>
      </c>
      <c r="I119" s="583">
        <f t="shared" si="44"/>
        <v>40</v>
      </c>
      <c r="J119" s="18">
        <v>4</v>
      </c>
      <c r="K119" s="19">
        <v>10</v>
      </c>
      <c r="L119" s="19">
        <f t="shared" si="45"/>
        <v>40</v>
      </c>
      <c r="N119" s="18">
        <v>4</v>
      </c>
      <c r="O119" s="19">
        <v>10</v>
      </c>
      <c r="P119" s="19">
        <f t="shared" si="46"/>
        <v>40</v>
      </c>
      <c r="R119" s="14">
        <v>4</v>
      </c>
      <c r="S119" s="16">
        <v>10</v>
      </c>
      <c r="T119" s="16">
        <f t="shared" si="47"/>
        <v>40</v>
      </c>
      <c r="V119" s="14">
        <v>4</v>
      </c>
      <c r="W119" s="521">
        <f>AVERAGE(W120:W123)</f>
        <v>9.1750000000000007</v>
      </c>
      <c r="X119" s="522">
        <f>SUM(W120:W123)</f>
        <v>36.700000000000003</v>
      </c>
    </row>
    <row r="120" spans="2:24" x14ac:dyDescent="0.2">
      <c r="B120" s="127" t="s">
        <v>947</v>
      </c>
      <c r="C120" s="123"/>
      <c r="D120" s="74"/>
      <c r="E120" s="597"/>
      <c r="F120" s="351"/>
      <c r="G120" s="591"/>
      <c r="H120" s="565"/>
      <c r="I120" s="565"/>
      <c r="J120" s="18"/>
      <c r="K120" s="19"/>
      <c r="L120" s="19"/>
      <c r="N120" s="18"/>
      <c r="O120" s="19"/>
      <c r="P120" s="19"/>
      <c r="R120" s="18"/>
      <c r="S120" s="19"/>
      <c r="T120" s="19"/>
      <c r="V120" s="18">
        <v>1</v>
      </c>
      <c r="W120" s="112">
        <v>9.1</v>
      </c>
      <c r="X120" s="112"/>
    </row>
    <row r="121" spans="2:24" x14ac:dyDescent="0.2">
      <c r="B121" s="127" t="s">
        <v>948</v>
      </c>
      <c r="C121" s="123"/>
      <c r="D121" s="74"/>
      <c r="E121" s="597"/>
      <c r="F121" s="351"/>
      <c r="G121" s="591"/>
      <c r="H121" s="565"/>
      <c r="I121" s="565"/>
      <c r="J121" s="18"/>
      <c r="K121" s="19"/>
      <c r="L121" s="19"/>
      <c r="N121" s="18"/>
      <c r="O121" s="19"/>
      <c r="P121" s="19"/>
      <c r="R121" s="18"/>
      <c r="S121" s="19"/>
      <c r="T121" s="19"/>
      <c r="V121" s="18">
        <v>1</v>
      </c>
      <c r="W121" s="112">
        <v>9.1999999999999993</v>
      </c>
      <c r="X121" s="112"/>
    </row>
    <row r="122" spans="2:24" x14ac:dyDescent="0.2">
      <c r="B122" s="127" t="s">
        <v>949</v>
      </c>
      <c r="C122" s="123"/>
      <c r="D122" s="74"/>
      <c r="E122" s="597"/>
      <c r="F122" s="351"/>
      <c r="G122" s="591"/>
      <c r="H122" s="565"/>
      <c r="I122" s="565"/>
      <c r="J122" s="18"/>
      <c r="K122" s="19"/>
      <c r="L122" s="19"/>
      <c r="N122" s="18"/>
      <c r="O122" s="19"/>
      <c r="P122" s="19"/>
      <c r="R122" s="18"/>
      <c r="S122" s="19"/>
      <c r="T122" s="19"/>
      <c r="V122" s="18">
        <v>1</v>
      </c>
      <c r="W122" s="112">
        <v>9.6</v>
      </c>
      <c r="X122" s="112"/>
    </row>
    <row r="123" spans="2:24" x14ac:dyDescent="0.2">
      <c r="B123" s="127" t="s">
        <v>950</v>
      </c>
      <c r="C123" s="183"/>
      <c r="D123" s="422"/>
      <c r="E123" s="598"/>
      <c r="F123" s="351"/>
      <c r="G123" s="592"/>
      <c r="H123" s="566"/>
      <c r="I123" s="566"/>
      <c r="J123" s="18"/>
      <c r="K123" s="19"/>
      <c r="L123" s="19"/>
      <c r="N123" s="18"/>
      <c r="O123" s="19"/>
      <c r="P123" s="19"/>
      <c r="R123" s="47"/>
      <c r="S123" s="49"/>
      <c r="T123" s="49"/>
      <c r="V123" s="47">
        <v>1</v>
      </c>
      <c r="W123" s="240">
        <v>8.8000000000000007</v>
      </c>
      <c r="X123" s="112"/>
    </row>
    <row r="124" spans="2:24" x14ac:dyDescent="0.2">
      <c r="B124" s="412" t="s">
        <v>749</v>
      </c>
      <c r="C124" s="402" t="s">
        <v>593</v>
      </c>
      <c r="D124" s="476"/>
      <c r="E124" s="390" t="s">
        <v>592</v>
      </c>
      <c r="F124" s="351"/>
      <c r="G124" s="487">
        <v>1</v>
      </c>
      <c r="H124" s="489">
        <v>60</v>
      </c>
      <c r="I124" s="489">
        <f t="shared" si="44"/>
        <v>60</v>
      </c>
      <c r="J124" s="18">
        <v>1</v>
      </c>
      <c r="K124" s="19">
        <v>60.4</v>
      </c>
      <c r="L124" s="19">
        <f t="shared" si="45"/>
        <v>60.4</v>
      </c>
      <c r="N124" s="18">
        <v>1</v>
      </c>
      <c r="O124" s="19">
        <v>60.4</v>
      </c>
      <c r="P124" s="19">
        <f t="shared" si="46"/>
        <v>60.4</v>
      </c>
      <c r="R124" s="487">
        <v>1</v>
      </c>
      <c r="S124" s="489">
        <v>60.4</v>
      </c>
      <c r="T124" s="489">
        <f t="shared" si="47"/>
        <v>60.4</v>
      </c>
      <c r="V124" s="487">
        <v>1</v>
      </c>
      <c r="W124" s="490">
        <v>60.6</v>
      </c>
      <c r="X124" s="490">
        <f t="shared" si="48"/>
        <v>60.6</v>
      </c>
    </row>
    <row r="125" spans="2:24" x14ac:dyDescent="0.2">
      <c r="B125" s="412" t="s">
        <v>750</v>
      </c>
      <c r="C125" s="402" t="s">
        <v>537</v>
      </c>
      <c r="D125" s="476"/>
      <c r="E125" s="390" t="s">
        <v>542</v>
      </c>
      <c r="F125" s="351"/>
      <c r="G125" s="487">
        <v>1</v>
      </c>
      <c r="H125" s="489">
        <v>60</v>
      </c>
      <c r="I125" s="489">
        <f t="shared" si="44"/>
        <v>60</v>
      </c>
      <c r="J125" s="18">
        <v>1</v>
      </c>
      <c r="K125" s="19">
        <v>60.6</v>
      </c>
      <c r="L125" s="19">
        <f t="shared" si="45"/>
        <v>60.6</v>
      </c>
      <c r="N125" s="18">
        <v>1</v>
      </c>
      <c r="O125" s="19">
        <v>60.8</v>
      </c>
      <c r="P125" s="19">
        <f t="shared" si="46"/>
        <v>60.8</v>
      </c>
      <c r="R125" s="487">
        <v>1</v>
      </c>
      <c r="S125" s="489">
        <v>60.8</v>
      </c>
      <c r="T125" s="489">
        <f t="shared" si="47"/>
        <v>60.8</v>
      </c>
      <c r="V125" s="487">
        <v>1</v>
      </c>
      <c r="W125" s="490">
        <v>55</v>
      </c>
      <c r="X125" s="490">
        <f t="shared" si="48"/>
        <v>55</v>
      </c>
    </row>
    <row r="126" spans="2:24" x14ac:dyDescent="0.2">
      <c r="B126" s="412" t="s">
        <v>751</v>
      </c>
      <c r="C126" s="402" t="s">
        <v>538</v>
      </c>
      <c r="D126" s="476"/>
      <c r="E126" s="390" t="s">
        <v>543</v>
      </c>
      <c r="F126" s="351"/>
      <c r="G126" s="487">
        <v>1</v>
      </c>
      <c r="H126" s="489">
        <v>30</v>
      </c>
      <c r="I126" s="489">
        <f t="shared" si="44"/>
        <v>30</v>
      </c>
      <c r="J126" s="18">
        <v>1</v>
      </c>
      <c r="K126" s="19">
        <v>30</v>
      </c>
      <c r="L126" s="19">
        <f t="shared" si="45"/>
        <v>30</v>
      </c>
      <c r="N126" s="18">
        <v>1</v>
      </c>
      <c r="O126" s="19">
        <v>31.2</v>
      </c>
      <c r="P126" s="19">
        <f t="shared" si="46"/>
        <v>31.2</v>
      </c>
      <c r="R126" s="487">
        <v>1</v>
      </c>
      <c r="S126" s="489">
        <v>31.2</v>
      </c>
      <c r="T126" s="489">
        <f t="shared" si="47"/>
        <v>31.2</v>
      </c>
      <c r="V126" s="487">
        <v>1</v>
      </c>
      <c r="W126" s="490">
        <v>27.9</v>
      </c>
      <c r="X126" s="490">
        <f t="shared" si="48"/>
        <v>27.9</v>
      </c>
    </row>
    <row r="127" spans="2:24" x14ac:dyDescent="0.2">
      <c r="B127" s="412" t="s">
        <v>752</v>
      </c>
      <c r="C127" s="402" t="s">
        <v>539</v>
      </c>
      <c r="D127" s="476"/>
      <c r="E127" s="390" t="s">
        <v>839</v>
      </c>
      <c r="F127" s="351"/>
      <c r="G127" s="487">
        <v>1</v>
      </c>
      <c r="H127" s="489">
        <f>2*8</f>
        <v>16</v>
      </c>
      <c r="I127" s="489">
        <f>G127*H127</f>
        <v>16</v>
      </c>
      <c r="J127" s="18">
        <v>1</v>
      </c>
      <c r="K127" s="19">
        <v>16</v>
      </c>
      <c r="L127" s="19">
        <f>J127*K127</f>
        <v>16</v>
      </c>
      <c r="N127" s="18">
        <v>1</v>
      </c>
      <c r="O127" s="19">
        <v>15.7</v>
      </c>
      <c r="P127" s="19">
        <f>N127*O127</f>
        <v>15.7</v>
      </c>
      <c r="R127" s="487">
        <v>1</v>
      </c>
      <c r="S127" s="489">
        <v>15.7</v>
      </c>
      <c r="T127" s="489">
        <f>R127*S127</f>
        <v>15.7</v>
      </c>
      <c r="V127" s="487">
        <v>1</v>
      </c>
      <c r="W127" s="490">
        <v>11.4</v>
      </c>
      <c r="X127" s="490">
        <f>V127*W127</f>
        <v>11.4</v>
      </c>
    </row>
    <row r="128" spans="2:24" x14ac:dyDescent="0.2">
      <c r="B128" s="412" t="s">
        <v>753</v>
      </c>
      <c r="C128" s="402" t="s">
        <v>540</v>
      </c>
      <c r="D128" s="476"/>
      <c r="E128" s="390" t="s">
        <v>565</v>
      </c>
      <c r="F128" s="351"/>
      <c r="G128" s="487">
        <v>15</v>
      </c>
      <c r="H128" s="490">
        <v>2.5</v>
      </c>
      <c r="I128" s="489">
        <f t="shared" si="44"/>
        <v>37.5</v>
      </c>
      <c r="J128" s="18">
        <v>15</v>
      </c>
      <c r="K128" s="112">
        <v>2.62</v>
      </c>
      <c r="L128" s="19">
        <f t="shared" ref="L128:L130" si="49">J128*K128</f>
        <v>39.300000000000004</v>
      </c>
      <c r="N128" s="18">
        <v>1</v>
      </c>
      <c r="O128" s="112">
        <v>78.900000000000006</v>
      </c>
      <c r="P128" s="19">
        <f t="shared" ref="P128:P130" si="50">N128*O128</f>
        <v>78.900000000000006</v>
      </c>
      <c r="R128" s="487">
        <v>1</v>
      </c>
      <c r="S128" s="490">
        <v>78.900000000000006</v>
      </c>
      <c r="T128" s="489">
        <f t="shared" ref="T128:T130" si="51">R128*S128</f>
        <v>78.900000000000006</v>
      </c>
      <c r="V128" s="487">
        <v>1</v>
      </c>
      <c r="W128" s="490">
        <v>78.099999999999994</v>
      </c>
      <c r="X128" s="490">
        <f t="shared" ref="X128:X130" si="52">V128*W128</f>
        <v>78.099999999999994</v>
      </c>
    </row>
    <row r="129" spans="1:24" x14ac:dyDescent="0.2">
      <c r="B129" s="412" t="s">
        <v>744</v>
      </c>
      <c r="C129" s="402" t="s">
        <v>869</v>
      </c>
      <c r="D129" s="476"/>
      <c r="E129" s="390" t="s">
        <v>566</v>
      </c>
      <c r="F129" s="351"/>
      <c r="G129" s="487">
        <v>35</v>
      </c>
      <c r="H129" s="490">
        <v>2.5</v>
      </c>
      <c r="I129" s="489">
        <f t="shared" si="44"/>
        <v>87.5</v>
      </c>
      <c r="J129" s="18">
        <v>35</v>
      </c>
      <c r="K129" s="112">
        <v>2.5</v>
      </c>
      <c r="L129" s="19">
        <f t="shared" si="49"/>
        <v>87.5</v>
      </c>
      <c r="N129" s="18">
        <v>1</v>
      </c>
      <c r="O129" s="112">
        <v>91.9</v>
      </c>
      <c r="P129" s="19">
        <f t="shared" si="50"/>
        <v>91.9</v>
      </c>
      <c r="R129" s="487">
        <v>1</v>
      </c>
      <c r="S129" s="490">
        <v>91.9</v>
      </c>
      <c r="T129" s="489">
        <f t="shared" si="51"/>
        <v>91.9</v>
      </c>
      <c r="V129" s="487">
        <v>1</v>
      </c>
      <c r="W129" s="490">
        <v>91.9</v>
      </c>
      <c r="X129" s="490">
        <f t="shared" si="52"/>
        <v>91.9</v>
      </c>
    </row>
    <row r="130" spans="1:24" x14ac:dyDescent="0.2">
      <c r="B130" s="173" t="s">
        <v>754</v>
      </c>
      <c r="C130" s="448" t="s">
        <v>567</v>
      </c>
      <c r="D130" s="76"/>
      <c r="E130" s="457" t="s">
        <v>840</v>
      </c>
      <c r="F130" s="351"/>
      <c r="G130" s="53">
        <v>1</v>
      </c>
      <c r="H130" s="408">
        <v>60</v>
      </c>
      <c r="I130" s="55">
        <f t="shared" si="44"/>
        <v>60</v>
      </c>
      <c r="J130" s="47">
        <v>1</v>
      </c>
      <c r="K130" s="240">
        <v>60</v>
      </c>
      <c r="L130" s="19">
        <f t="shared" si="49"/>
        <v>60</v>
      </c>
      <c r="N130" s="47">
        <v>1</v>
      </c>
      <c r="O130" s="240">
        <v>57.1</v>
      </c>
      <c r="P130" s="19">
        <f t="shared" si="50"/>
        <v>57.1</v>
      </c>
      <c r="R130" s="487">
        <v>1</v>
      </c>
      <c r="S130" s="490">
        <v>57.1</v>
      </c>
      <c r="T130" s="489">
        <f t="shared" si="51"/>
        <v>57.1</v>
      </c>
      <c r="V130" s="406">
        <v>1</v>
      </c>
      <c r="W130" s="407">
        <v>63.3</v>
      </c>
      <c r="X130" s="408">
        <f t="shared" si="52"/>
        <v>63.3</v>
      </c>
    </row>
    <row r="131" spans="1:24" ht="18" x14ac:dyDescent="0.25">
      <c r="A131" t="s">
        <v>809</v>
      </c>
      <c r="B131" s="548" t="s">
        <v>235</v>
      </c>
      <c r="C131" s="549"/>
      <c r="D131" s="549"/>
      <c r="E131" s="549"/>
      <c r="F131" s="351"/>
      <c r="G131" s="359"/>
      <c r="H131" s="359"/>
      <c r="I131" s="56">
        <f>I132+I143</f>
        <v>776.6</v>
      </c>
      <c r="J131" s="241"/>
      <c r="K131" s="242"/>
      <c r="L131" s="56">
        <f>L132+L143</f>
        <v>772.3</v>
      </c>
      <c r="N131" s="241"/>
      <c r="O131" s="242"/>
      <c r="P131" s="56">
        <f>P132+P143</f>
        <v>777.99999999999989</v>
      </c>
      <c r="R131" s="241"/>
      <c r="S131" s="242"/>
      <c r="T131" s="56">
        <f>T132+T143</f>
        <v>773.89999999999986</v>
      </c>
      <c r="V131" s="241"/>
      <c r="W131" s="309"/>
      <c r="X131" s="310">
        <f>X132+X143</f>
        <v>836.69999999999993</v>
      </c>
    </row>
    <row r="132" spans="1:24" s="4" customFormat="1" x14ac:dyDescent="0.2">
      <c r="A132" s="4" t="s">
        <v>809</v>
      </c>
      <c r="B132" s="24"/>
      <c r="C132" s="34" t="s">
        <v>453</v>
      </c>
      <c r="D132" s="70"/>
      <c r="E132" s="363"/>
      <c r="F132" s="348"/>
      <c r="G132" s="498"/>
      <c r="H132" s="497"/>
      <c r="I132" s="27">
        <f>SUM(I134:I141)</f>
        <v>491</v>
      </c>
      <c r="J132" s="25"/>
      <c r="K132" s="26"/>
      <c r="L132" s="27">
        <f>SUM(L133:L141)</f>
        <v>525.79999999999995</v>
      </c>
      <c r="N132" s="25"/>
      <c r="O132" s="26"/>
      <c r="P132" s="27">
        <f>SUM(P133:P141)</f>
        <v>530.89999999999986</v>
      </c>
      <c r="R132" s="364"/>
      <c r="S132" s="26"/>
      <c r="T132" s="27">
        <f>SUM(T134:T141)</f>
        <v>533.59999999999991</v>
      </c>
      <c r="V132" s="364"/>
      <c r="W132" s="286"/>
      <c r="X132" s="287">
        <f>SUM(X133:X142)</f>
        <v>553.9</v>
      </c>
    </row>
    <row r="133" spans="1:24" x14ac:dyDescent="0.2">
      <c r="B133" s="513" t="s">
        <v>951</v>
      </c>
      <c r="C133" s="508" t="s">
        <v>953</v>
      </c>
      <c r="D133" s="351"/>
      <c r="E133" s="279"/>
      <c r="F133" s="351"/>
      <c r="H133" s="509"/>
      <c r="I133" s="509"/>
      <c r="J133" s="53">
        <v>1</v>
      </c>
      <c r="K133" s="41">
        <v>248.6</v>
      </c>
      <c r="L133" s="41">
        <f t="shared" ref="L133:L136" si="53">J133*K133</f>
        <v>248.6</v>
      </c>
      <c r="N133" s="53">
        <v>1</v>
      </c>
      <c r="O133" s="41">
        <v>221.6</v>
      </c>
      <c r="P133" s="41">
        <f t="shared" ref="P133:P136" si="54">N133*O133</f>
        <v>221.6</v>
      </c>
      <c r="R133" s="524"/>
      <c r="S133" s="524"/>
      <c r="T133" s="524"/>
      <c r="V133" s="282">
        <v>1</v>
      </c>
      <c r="W133" s="431">
        <v>17.600000000000001</v>
      </c>
      <c r="X133" s="431">
        <f t="shared" ref="X133:X136" si="55">V133*W133</f>
        <v>17.600000000000001</v>
      </c>
    </row>
    <row r="134" spans="1:24" x14ac:dyDescent="0.2">
      <c r="B134" s="412" t="s">
        <v>952</v>
      </c>
      <c r="C134" s="402" t="s">
        <v>443</v>
      </c>
      <c r="D134" s="476"/>
      <c r="E134" s="390" t="s">
        <v>448</v>
      </c>
      <c r="F134" s="351"/>
      <c r="G134" s="487">
        <v>1</v>
      </c>
      <c r="H134" s="507">
        <v>224</v>
      </c>
      <c r="I134" s="507">
        <f>G134*H134</f>
        <v>224</v>
      </c>
      <c r="J134" s="53"/>
      <c r="K134" s="41"/>
      <c r="L134" s="41"/>
      <c r="N134" s="53"/>
      <c r="O134" s="41"/>
      <c r="P134" s="41"/>
      <c r="R134" s="487">
        <v>1</v>
      </c>
      <c r="S134" s="507">
        <v>221.6</v>
      </c>
      <c r="T134" s="507">
        <f>R134*S134</f>
        <v>221.6</v>
      </c>
      <c r="V134" s="601">
        <v>1</v>
      </c>
      <c r="W134" s="599">
        <v>339.8</v>
      </c>
      <c r="X134" s="599">
        <f t="shared" si="55"/>
        <v>339.8</v>
      </c>
    </row>
    <row r="135" spans="1:24" x14ac:dyDescent="0.2">
      <c r="B135" s="412" t="s">
        <v>757</v>
      </c>
      <c r="C135" s="402" t="s">
        <v>444</v>
      </c>
      <c r="D135" s="476"/>
      <c r="E135" s="390" t="s">
        <v>449</v>
      </c>
      <c r="F135" s="351"/>
      <c r="G135" s="487">
        <v>1</v>
      </c>
      <c r="H135" s="507">
        <v>128</v>
      </c>
      <c r="I135" s="507">
        <f t="shared" ref="I135:I140" si="56">G135*H135</f>
        <v>128</v>
      </c>
      <c r="J135" s="18">
        <v>1</v>
      </c>
      <c r="K135" s="41">
        <v>128.80000000000001</v>
      </c>
      <c r="L135" s="41">
        <f t="shared" si="53"/>
        <v>128.80000000000001</v>
      </c>
      <c r="N135" s="18">
        <v>1</v>
      </c>
      <c r="O135" s="41">
        <v>140.69999999999999</v>
      </c>
      <c r="P135" s="41">
        <f t="shared" si="54"/>
        <v>140.69999999999999</v>
      </c>
      <c r="R135" s="487">
        <v>1</v>
      </c>
      <c r="S135" s="507">
        <v>130.69999999999999</v>
      </c>
      <c r="T135" s="507">
        <f t="shared" ref="T135:T136" si="57">R135*S135</f>
        <v>130.69999999999999</v>
      </c>
      <c r="V135" s="601"/>
      <c r="W135" s="599"/>
      <c r="X135" s="599"/>
    </row>
    <row r="136" spans="1:24" x14ac:dyDescent="0.2">
      <c r="B136" s="412" t="s">
        <v>858</v>
      </c>
      <c r="C136" s="402" t="s">
        <v>236</v>
      </c>
      <c r="D136" s="476"/>
      <c r="E136" s="390"/>
      <c r="F136" s="351"/>
      <c r="G136" s="487">
        <v>1</v>
      </c>
      <c r="H136" s="507">
        <v>4</v>
      </c>
      <c r="I136" s="507">
        <f t="shared" si="56"/>
        <v>4</v>
      </c>
      <c r="J136" s="18">
        <v>1</v>
      </c>
      <c r="K136" s="41">
        <v>9</v>
      </c>
      <c r="L136" s="41">
        <f t="shared" si="53"/>
        <v>9</v>
      </c>
      <c r="N136" s="18">
        <v>1</v>
      </c>
      <c r="O136" s="41">
        <v>5.7</v>
      </c>
      <c r="P136" s="41">
        <f t="shared" si="54"/>
        <v>5.7</v>
      </c>
      <c r="R136" s="487">
        <v>1</v>
      </c>
      <c r="S136" s="507">
        <v>5.7</v>
      </c>
      <c r="T136" s="507">
        <f t="shared" si="57"/>
        <v>5.7</v>
      </c>
      <c r="V136" s="487">
        <v>1</v>
      </c>
      <c r="W136" s="512">
        <v>5.8</v>
      </c>
      <c r="X136" s="512">
        <f t="shared" si="55"/>
        <v>5.8</v>
      </c>
    </row>
    <row r="137" spans="1:24" x14ac:dyDescent="0.2">
      <c r="B137" s="412" t="s">
        <v>857</v>
      </c>
      <c r="C137" s="402" t="s">
        <v>884</v>
      </c>
      <c r="D137" s="476"/>
      <c r="E137" s="390"/>
      <c r="F137" s="351"/>
      <c r="G137" s="487"/>
      <c r="H137" s="507"/>
      <c r="I137" s="507"/>
      <c r="J137" s="18"/>
      <c r="K137" s="41"/>
      <c r="L137" s="41"/>
      <c r="N137" s="18">
        <v>1</v>
      </c>
      <c r="O137" s="41">
        <v>10.9</v>
      </c>
      <c r="P137" s="41">
        <v>10.9</v>
      </c>
      <c r="R137" s="487">
        <v>1</v>
      </c>
      <c r="S137" s="507">
        <v>10.9</v>
      </c>
      <c r="T137" s="507">
        <v>10.9</v>
      </c>
      <c r="V137" s="487">
        <v>1</v>
      </c>
      <c r="W137" s="512">
        <v>9.6</v>
      </c>
      <c r="X137" s="512">
        <v>10.9</v>
      </c>
    </row>
    <row r="138" spans="1:24" x14ac:dyDescent="0.2">
      <c r="B138" s="412" t="s">
        <v>857</v>
      </c>
      <c r="C138" s="402" t="s">
        <v>291</v>
      </c>
      <c r="D138" s="476"/>
      <c r="E138" s="390" t="s">
        <v>454</v>
      </c>
      <c r="F138" s="351"/>
      <c r="G138" s="487">
        <v>1</v>
      </c>
      <c r="H138" s="507" t="s">
        <v>454</v>
      </c>
      <c r="I138" s="507" t="s">
        <v>454</v>
      </c>
      <c r="J138" s="18">
        <v>1</v>
      </c>
      <c r="K138" s="41"/>
      <c r="L138" s="41" t="s">
        <v>454</v>
      </c>
      <c r="N138" s="18">
        <v>1</v>
      </c>
      <c r="O138" s="41">
        <v>16.399999999999999</v>
      </c>
      <c r="P138" s="41">
        <v>10.9</v>
      </c>
      <c r="R138" s="487">
        <v>1</v>
      </c>
      <c r="S138" s="507">
        <v>16.399999999999999</v>
      </c>
      <c r="T138" s="507">
        <v>10.9</v>
      </c>
      <c r="V138" s="487">
        <v>1</v>
      </c>
      <c r="W138" s="512">
        <v>15.1</v>
      </c>
      <c r="X138" s="512">
        <v>10.9</v>
      </c>
    </row>
    <row r="139" spans="1:24" x14ac:dyDescent="0.2">
      <c r="B139" s="412" t="s">
        <v>857</v>
      </c>
      <c r="C139" s="402" t="s">
        <v>445</v>
      </c>
      <c r="D139" s="476"/>
      <c r="E139" s="390" t="s">
        <v>454</v>
      </c>
      <c r="F139" s="351"/>
      <c r="G139" s="487">
        <v>1</v>
      </c>
      <c r="H139" s="507" t="s">
        <v>454</v>
      </c>
      <c r="I139" s="507" t="s">
        <v>454</v>
      </c>
      <c r="J139" s="18">
        <v>1</v>
      </c>
      <c r="K139" s="41"/>
      <c r="L139" s="41" t="s">
        <v>454</v>
      </c>
      <c r="N139" s="18">
        <v>1</v>
      </c>
      <c r="O139" s="41">
        <v>16.399999999999999</v>
      </c>
      <c r="P139" s="41">
        <v>10.9</v>
      </c>
      <c r="R139" s="487">
        <v>1</v>
      </c>
      <c r="S139" s="507">
        <v>16.399999999999999</v>
      </c>
      <c r="T139" s="507">
        <v>10.9</v>
      </c>
      <c r="V139" s="487">
        <v>1</v>
      </c>
      <c r="W139" s="512">
        <v>13.4</v>
      </c>
      <c r="X139" s="512">
        <v>10.9</v>
      </c>
    </row>
    <row r="140" spans="1:24" x14ac:dyDescent="0.2">
      <c r="B140" s="412" t="s">
        <v>758</v>
      </c>
      <c r="C140" s="402" t="s">
        <v>446</v>
      </c>
      <c r="D140" s="476"/>
      <c r="E140" s="390" t="s">
        <v>451</v>
      </c>
      <c r="F140" s="351"/>
      <c r="G140" s="487">
        <v>1</v>
      </c>
      <c r="H140" s="507">
        <v>120</v>
      </c>
      <c r="I140" s="507">
        <f t="shared" si="56"/>
        <v>120</v>
      </c>
      <c r="J140" s="18">
        <v>1</v>
      </c>
      <c r="K140" s="41">
        <v>124.6</v>
      </c>
      <c r="L140" s="41">
        <f t="shared" ref="L140" si="58">J140*K140</f>
        <v>124.6</v>
      </c>
      <c r="N140" s="18">
        <v>1</v>
      </c>
      <c r="O140" s="41">
        <v>116.9</v>
      </c>
      <c r="P140" s="41">
        <f t="shared" ref="P140" si="59">N140*O140</f>
        <v>116.9</v>
      </c>
      <c r="R140" s="487">
        <v>1</v>
      </c>
      <c r="S140" s="507">
        <v>116.9</v>
      </c>
      <c r="T140" s="507">
        <f t="shared" ref="T140" si="60">R140*S140</f>
        <v>116.9</v>
      </c>
      <c r="V140" s="487">
        <v>1</v>
      </c>
      <c r="W140" s="512">
        <v>120.9</v>
      </c>
      <c r="X140" s="512">
        <f t="shared" ref="X140" si="61">V140*W140</f>
        <v>120.9</v>
      </c>
    </row>
    <row r="141" spans="1:24" x14ac:dyDescent="0.2">
      <c r="B141" s="412" t="s">
        <v>954</v>
      </c>
      <c r="C141" s="402" t="s">
        <v>447</v>
      </c>
      <c r="D141" s="476"/>
      <c r="E141" s="390" t="s">
        <v>452</v>
      </c>
      <c r="F141" s="351"/>
      <c r="G141" s="487">
        <v>1</v>
      </c>
      <c r="H141" s="507">
        <v>15</v>
      </c>
      <c r="I141" s="507">
        <f>G141*H141</f>
        <v>15</v>
      </c>
      <c r="J141" s="18">
        <v>1</v>
      </c>
      <c r="K141" s="41">
        <v>14.8</v>
      </c>
      <c r="L141" s="41">
        <f>J141*K141</f>
        <v>14.8</v>
      </c>
      <c r="N141" s="18">
        <v>1</v>
      </c>
      <c r="O141" s="41">
        <v>13.3</v>
      </c>
      <c r="P141" s="41">
        <f>N141*O141</f>
        <v>13.3</v>
      </c>
      <c r="R141" s="487">
        <v>1</v>
      </c>
      <c r="S141" s="507">
        <v>26</v>
      </c>
      <c r="T141" s="507">
        <f>R141*S141</f>
        <v>26</v>
      </c>
      <c r="V141" s="487">
        <v>1</v>
      </c>
      <c r="W141" s="512">
        <v>31.6</v>
      </c>
      <c r="X141" s="512">
        <f>V141*W141</f>
        <v>31.6</v>
      </c>
    </row>
    <row r="142" spans="1:24" x14ac:dyDescent="0.2">
      <c r="B142" s="173" t="s">
        <v>955</v>
      </c>
      <c r="C142" s="249" t="s">
        <v>956</v>
      </c>
      <c r="D142" s="401"/>
      <c r="E142" s="499"/>
      <c r="F142" s="344"/>
      <c r="G142" s="500"/>
      <c r="H142" s="510"/>
      <c r="I142" s="502"/>
      <c r="K142" s="501"/>
      <c r="L142" s="502"/>
      <c r="N142" s="11"/>
      <c r="O142" s="501"/>
      <c r="P142" s="502"/>
      <c r="R142" s="487"/>
      <c r="S142" s="507"/>
      <c r="T142" s="507"/>
      <c r="V142" s="500">
        <v>1</v>
      </c>
      <c r="W142" s="511">
        <v>5.5</v>
      </c>
      <c r="X142" s="503">
        <f>W142*V142</f>
        <v>5.5</v>
      </c>
    </row>
    <row r="143" spans="1:24" s="4" customFormat="1" x14ac:dyDescent="0.2">
      <c r="A143" s="4" t="s">
        <v>809</v>
      </c>
      <c r="B143" s="24"/>
      <c r="C143" s="175" t="s">
        <v>806</v>
      </c>
      <c r="D143" s="70"/>
      <c r="E143" s="363"/>
      <c r="F143" s="348"/>
      <c r="G143" s="364"/>
      <c r="H143" s="26"/>
      <c r="I143" s="27">
        <f>SUM(I144:I166)</f>
        <v>285.60000000000002</v>
      </c>
      <c r="J143" s="25"/>
      <c r="K143" s="26"/>
      <c r="L143" s="27">
        <f>SUM(L144:L166)</f>
        <v>246.49999999999997</v>
      </c>
      <c r="N143" s="25"/>
      <c r="O143" s="26"/>
      <c r="P143" s="27">
        <f>SUM(P144:P166)</f>
        <v>247.1</v>
      </c>
      <c r="R143" s="364"/>
      <c r="S143" s="26"/>
      <c r="T143" s="27">
        <f>SUM(T144:T166)</f>
        <v>240.3</v>
      </c>
      <c r="V143" s="364"/>
      <c r="W143" s="286"/>
      <c r="X143" s="287">
        <f>SUM(X144:X163)+X166</f>
        <v>282.79999999999995</v>
      </c>
    </row>
    <row r="144" spans="1:24" x14ac:dyDescent="0.2">
      <c r="B144" s="513" t="s">
        <v>760</v>
      </c>
      <c r="C144" s="183" t="s">
        <v>455</v>
      </c>
      <c r="D144" s="422"/>
      <c r="E144" s="334" t="s">
        <v>472</v>
      </c>
      <c r="F144" s="351"/>
      <c r="G144" s="47">
        <v>1</v>
      </c>
      <c r="H144" s="504">
        <v>50</v>
      </c>
      <c r="I144" s="504">
        <f>G144*H144</f>
        <v>50</v>
      </c>
      <c r="J144" s="18">
        <v>1</v>
      </c>
      <c r="K144" s="41">
        <v>50.4</v>
      </c>
      <c r="L144" s="41">
        <f>J144*K144</f>
        <v>50.4</v>
      </c>
      <c r="N144" s="18">
        <v>1</v>
      </c>
      <c r="O144" s="41">
        <v>43.4</v>
      </c>
      <c r="P144" s="41">
        <f>N144*O144</f>
        <v>43.4</v>
      </c>
      <c r="R144" s="47">
        <v>1</v>
      </c>
      <c r="S144" s="504">
        <v>43.4</v>
      </c>
      <c r="T144" s="504">
        <f>R144*S144</f>
        <v>43.4</v>
      </c>
      <c r="V144" s="47">
        <v>1</v>
      </c>
      <c r="W144" s="505">
        <v>38.4</v>
      </c>
      <c r="X144" s="505">
        <f>V144*W144</f>
        <v>38.4</v>
      </c>
    </row>
    <row r="145" spans="2:24" x14ac:dyDescent="0.2">
      <c r="B145" s="412" t="s">
        <v>761</v>
      </c>
      <c r="C145" s="402" t="s">
        <v>295</v>
      </c>
      <c r="D145" s="467"/>
      <c r="E145" s="390" t="s">
        <v>473</v>
      </c>
      <c r="F145" s="351"/>
      <c r="G145" s="487">
        <v>1</v>
      </c>
      <c r="H145" s="507">
        <v>12</v>
      </c>
      <c r="I145" s="507">
        <f t="shared" ref="I145:I153" si="62">G145*H145</f>
        <v>12</v>
      </c>
      <c r="J145" s="18">
        <v>1</v>
      </c>
      <c r="K145" s="41">
        <v>13.3</v>
      </c>
      <c r="L145" s="41">
        <f t="shared" ref="L145:L153" si="63">J145*K145</f>
        <v>13.3</v>
      </c>
      <c r="N145" s="18">
        <v>1</v>
      </c>
      <c r="O145" s="41">
        <v>12.4</v>
      </c>
      <c r="P145" s="41">
        <f t="shared" ref="P145:P153" si="64">N145*O145</f>
        <v>12.4</v>
      </c>
      <c r="R145" s="487">
        <v>1</v>
      </c>
      <c r="S145" s="507">
        <v>12.4</v>
      </c>
      <c r="T145" s="507">
        <f t="shared" ref="T145:T153" si="65">R145*S145</f>
        <v>12.4</v>
      </c>
      <c r="V145" s="487">
        <v>1</v>
      </c>
      <c r="W145" s="512">
        <v>11.7</v>
      </c>
      <c r="X145" s="512">
        <f t="shared" ref="X145:X153" si="66">V145*W145</f>
        <v>11.7</v>
      </c>
    </row>
    <row r="146" spans="2:24" x14ac:dyDescent="0.2">
      <c r="B146" s="412" t="s">
        <v>762</v>
      </c>
      <c r="C146" s="402" t="s">
        <v>298</v>
      </c>
      <c r="D146" s="467"/>
      <c r="E146" s="390" t="s">
        <v>473</v>
      </c>
      <c r="F146" s="351"/>
      <c r="G146" s="487">
        <v>1</v>
      </c>
      <c r="H146" s="507">
        <v>12</v>
      </c>
      <c r="I146" s="507">
        <f t="shared" si="62"/>
        <v>12</v>
      </c>
      <c r="J146" s="18">
        <v>1</v>
      </c>
      <c r="K146" s="41">
        <v>12</v>
      </c>
      <c r="L146" s="41">
        <f t="shared" si="63"/>
        <v>12</v>
      </c>
      <c r="N146" s="18">
        <v>1</v>
      </c>
      <c r="O146" s="41">
        <v>15.1</v>
      </c>
      <c r="P146" s="41">
        <f t="shared" si="64"/>
        <v>15.1</v>
      </c>
      <c r="R146" s="487">
        <v>1</v>
      </c>
      <c r="S146" s="507">
        <v>14</v>
      </c>
      <c r="T146" s="507">
        <f t="shared" si="65"/>
        <v>14</v>
      </c>
      <c r="V146" s="487">
        <v>1</v>
      </c>
      <c r="W146" s="512">
        <v>13.7</v>
      </c>
      <c r="X146" s="512">
        <f t="shared" si="66"/>
        <v>13.7</v>
      </c>
    </row>
    <row r="147" spans="2:24" x14ac:dyDescent="0.2">
      <c r="B147" s="412" t="s">
        <v>763</v>
      </c>
      <c r="C147" s="402" t="s">
        <v>456</v>
      </c>
      <c r="D147" s="476"/>
      <c r="E147" s="390" t="s">
        <v>473</v>
      </c>
      <c r="F147" s="351"/>
      <c r="G147" s="487">
        <v>1</v>
      </c>
      <c r="H147" s="507">
        <v>8</v>
      </c>
      <c r="I147" s="507">
        <f t="shared" si="62"/>
        <v>8</v>
      </c>
      <c r="J147" s="18">
        <v>1</v>
      </c>
      <c r="K147" s="41">
        <v>8</v>
      </c>
      <c r="L147" s="41">
        <f t="shared" si="63"/>
        <v>8</v>
      </c>
      <c r="N147" s="18">
        <v>1</v>
      </c>
      <c r="O147" s="41">
        <v>8.1999999999999993</v>
      </c>
      <c r="P147" s="41">
        <f t="shared" si="64"/>
        <v>8.1999999999999993</v>
      </c>
      <c r="R147" s="487">
        <v>1</v>
      </c>
      <c r="S147" s="507">
        <v>8.1999999999999993</v>
      </c>
      <c r="T147" s="507">
        <f t="shared" si="65"/>
        <v>8.1999999999999993</v>
      </c>
      <c r="V147" s="487">
        <v>1</v>
      </c>
      <c r="W147" s="512">
        <v>7.6</v>
      </c>
      <c r="X147" s="512">
        <f t="shared" si="66"/>
        <v>7.6</v>
      </c>
    </row>
    <row r="148" spans="2:24" x14ac:dyDescent="0.2">
      <c r="B148" s="412" t="s">
        <v>764</v>
      </c>
      <c r="C148" s="402" t="s">
        <v>239</v>
      </c>
      <c r="D148" s="476"/>
      <c r="E148" s="390"/>
      <c r="F148" s="351"/>
      <c r="G148" s="487">
        <v>1</v>
      </c>
      <c r="H148" s="507">
        <v>4</v>
      </c>
      <c r="I148" s="507">
        <f t="shared" si="62"/>
        <v>4</v>
      </c>
      <c r="J148" s="18">
        <v>1</v>
      </c>
      <c r="K148" s="41">
        <v>4</v>
      </c>
      <c r="L148" s="41">
        <f t="shared" si="63"/>
        <v>4</v>
      </c>
      <c r="N148" s="18">
        <v>1</v>
      </c>
      <c r="O148" s="41">
        <v>4</v>
      </c>
      <c r="P148" s="41">
        <f t="shared" si="64"/>
        <v>4</v>
      </c>
      <c r="R148" s="487">
        <v>1</v>
      </c>
      <c r="S148" s="507">
        <v>4</v>
      </c>
      <c r="T148" s="507">
        <f t="shared" si="65"/>
        <v>4</v>
      </c>
      <c r="V148" s="487">
        <v>1</v>
      </c>
      <c r="W148" s="512">
        <v>4</v>
      </c>
      <c r="X148" s="512">
        <f t="shared" si="66"/>
        <v>4</v>
      </c>
    </row>
    <row r="149" spans="2:24" x14ac:dyDescent="0.2">
      <c r="B149" s="412" t="s">
        <v>765</v>
      </c>
      <c r="C149" s="402" t="s">
        <v>457</v>
      </c>
      <c r="D149" s="476"/>
      <c r="E149" s="390"/>
      <c r="F149" s="351"/>
      <c r="G149" s="487">
        <v>1</v>
      </c>
      <c r="H149" s="507">
        <v>12</v>
      </c>
      <c r="I149" s="507">
        <f t="shared" si="62"/>
        <v>12</v>
      </c>
      <c r="J149" s="18">
        <v>1</v>
      </c>
      <c r="K149" s="41">
        <v>12</v>
      </c>
      <c r="L149" s="41">
        <f t="shared" si="63"/>
        <v>12</v>
      </c>
      <c r="N149" s="18">
        <v>1</v>
      </c>
      <c r="O149" s="41">
        <v>11.9</v>
      </c>
      <c r="P149" s="41">
        <f t="shared" si="64"/>
        <v>11.9</v>
      </c>
      <c r="R149" s="487">
        <v>1</v>
      </c>
      <c r="S149" s="507">
        <v>11.9</v>
      </c>
      <c r="T149" s="507">
        <f t="shared" si="65"/>
        <v>11.9</v>
      </c>
      <c r="V149" s="487">
        <v>1</v>
      </c>
      <c r="W149" s="512">
        <v>11.3</v>
      </c>
      <c r="X149" s="512">
        <f t="shared" si="66"/>
        <v>11.3</v>
      </c>
    </row>
    <row r="150" spans="2:24" x14ac:dyDescent="0.2">
      <c r="B150" s="412" t="s">
        <v>766</v>
      </c>
      <c r="C150" s="402" t="s">
        <v>204</v>
      </c>
      <c r="D150" s="476"/>
      <c r="E150" s="390"/>
      <c r="F150" s="351"/>
      <c r="G150" s="487">
        <v>1</v>
      </c>
      <c r="H150" s="507">
        <v>12</v>
      </c>
      <c r="I150" s="507">
        <f t="shared" si="62"/>
        <v>12</v>
      </c>
      <c r="J150" s="18">
        <v>1</v>
      </c>
      <c r="K150" s="41">
        <v>12</v>
      </c>
      <c r="L150" s="41">
        <f t="shared" si="63"/>
        <v>12</v>
      </c>
      <c r="N150" s="18">
        <v>1</v>
      </c>
      <c r="O150" s="41">
        <v>12.3</v>
      </c>
      <c r="P150" s="41">
        <f t="shared" si="64"/>
        <v>12.3</v>
      </c>
      <c r="R150" s="487">
        <v>1</v>
      </c>
      <c r="S150" s="507">
        <v>12.3</v>
      </c>
      <c r="T150" s="507">
        <f t="shared" si="65"/>
        <v>12.3</v>
      </c>
      <c r="V150" s="487">
        <v>1</v>
      </c>
      <c r="W150" s="512">
        <v>8.8000000000000007</v>
      </c>
      <c r="X150" s="512">
        <f t="shared" si="66"/>
        <v>8.8000000000000007</v>
      </c>
    </row>
    <row r="151" spans="2:24" x14ac:dyDescent="0.2">
      <c r="B151" s="412" t="s">
        <v>767</v>
      </c>
      <c r="C151" s="402" t="s">
        <v>458</v>
      </c>
      <c r="D151" s="476"/>
      <c r="E151" s="390" t="s">
        <v>474</v>
      </c>
      <c r="F151" s="351"/>
      <c r="G151" s="487">
        <v>1</v>
      </c>
      <c r="H151" s="507">
        <v>18</v>
      </c>
      <c r="I151" s="507">
        <f t="shared" si="62"/>
        <v>18</v>
      </c>
      <c r="J151" s="18">
        <v>1</v>
      </c>
      <c r="K151" s="41">
        <v>18</v>
      </c>
      <c r="L151" s="41">
        <f t="shared" si="63"/>
        <v>18</v>
      </c>
      <c r="N151" s="18">
        <v>1</v>
      </c>
      <c r="O151" s="41">
        <v>18.5</v>
      </c>
      <c r="P151" s="41">
        <f t="shared" si="64"/>
        <v>18.5</v>
      </c>
      <c r="R151" s="487">
        <v>1</v>
      </c>
      <c r="S151" s="507">
        <v>18.5</v>
      </c>
      <c r="T151" s="507">
        <f t="shared" si="65"/>
        <v>18.5</v>
      </c>
      <c r="V151" s="487">
        <v>1</v>
      </c>
      <c r="W151" s="512">
        <v>17.100000000000001</v>
      </c>
      <c r="X151" s="512">
        <f t="shared" si="66"/>
        <v>17.100000000000001</v>
      </c>
    </row>
    <row r="152" spans="2:24" x14ac:dyDescent="0.2">
      <c r="B152" s="412" t="s">
        <v>768</v>
      </c>
      <c r="C152" s="402" t="s">
        <v>459</v>
      </c>
      <c r="D152" s="476"/>
      <c r="E152" s="390" t="s">
        <v>475</v>
      </c>
      <c r="F152" s="351"/>
      <c r="G152" s="487">
        <v>1</v>
      </c>
      <c r="H152" s="507">
        <v>6</v>
      </c>
      <c r="I152" s="507">
        <f t="shared" si="62"/>
        <v>6</v>
      </c>
      <c r="J152" s="18">
        <v>1</v>
      </c>
      <c r="K152" s="41">
        <v>6</v>
      </c>
      <c r="L152" s="41">
        <f t="shared" si="63"/>
        <v>6</v>
      </c>
      <c r="N152" s="18">
        <v>1</v>
      </c>
      <c r="O152" s="41">
        <v>6.1</v>
      </c>
      <c r="P152" s="41">
        <f t="shared" si="64"/>
        <v>6.1</v>
      </c>
      <c r="R152" s="487">
        <v>1</v>
      </c>
      <c r="S152" s="507">
        <v>6.1</v>
      </c>
      <c r="T152" s="507">
        <f t="shared" si="65"/>
        <v>6.1</v>
      </c>
      <c r="V152" s="487">
        <v>1</v>
      </c>
      <c r="W152" s="512">
        <v>5.9</v>
      </c>
      <c r="X152" s="512">
        <f t="shared" si="66"/>
        <v>5.9</v>
      </c>
    </row>
    <row r="153" spans="2:24" x14ac:dyDescent="0.2">
      <c r="B153" s="412" t="s">
        <v>769</v>
      </c>
      <c r="C153" s="402" t="s">
        <v>460</v>
      </c>
      <c r="D153" s="476"/>
      <c r="E153" s="390"/>
      <c r="F153" s="351"/>
      <c r="G153" s="487">
        <v>1</v>
      </c>
      <c r="H153" s="507">
        <v>4</v>
      </c>
      <c r="I153" s="507">
        <f t="shared" si="62"/>
        <v>4</v>
      </c>
      <c r="J153" s="18">
        <v>1</v>
      </c>
      <c r="K153" s="41">
        <v>4</v>
      </c>
      <c r="L153" s="41">
        <f t="shared" si="63"/>
        <v>4</v>
      </c>
      <c r="N153" s="18">
        <v>1</v>
      </c>
      <c r="O153" s="41">
        <v>4</v>
      </c>
      <c r="P153" s="41">
        <f t="shared" si="64"/>
        <v>4</v>
      </c>
      <c r="R153" s="487">
        <v>1</v>
      </c>
      <c r="S153" s="507">
        <v>4</v>
      </c>
      <c r="T153" s="507">
        <f t="shared" si="65"/>
        <v>4</v>
      </c>
      <c r="V153" s="487">
        <v>1</v>
      </c>
      <c r="W153" s="512">
        <v>4.4000000000000004</v>
      </c>
      <c r="X153" s="512">
        <f t="shared" si="66"/>
        <v>4.4000000000000004</v>
      </c>
    </row>
    <row r="154" spans="2:24" x14ac:dyDescent="0.2">
      <c r="B154" s="412" t="s">
        <v>770</v>
      </c>
      <c r="C154" s="402" t="s">
        <v>461</v>
      </c>
      <c r="D154" s="476"/>
      <c r="E154" s="390"/>
      <c r="F154" s="351"/>
      <c r="G154" s="487">
        <v>1</v>
      </c>
      <c r="H154" s="507">
        <v>4</v>
      </c>
      <c r="I154" s="507">
        <f>G154*H154</f>
        <v>4</v>
      </c>
      <c r="J154" s="18">
        <v>1</v>
      </c>
      <c r="K154" s="41">
        <v>4</v>
      </c>
      <c r="L154" s="41">
        <f>J154*K154</f>
        <v>4</v>
      </c>
      <c r="N154" s="18">
        <v>1</v>
      </c>
      <c r="O154" s="41">
        <v>4</v>
      </c>
      <c r="P154" s="41">
        <f>N154*O154</f>
        <v>4</v>
      </c>
      <c r="R154" s="487">
        <v>1</v>
      </c>
      <c r="S154" s="507">
        <v>4</v>
      </c>
      <c r="T154" s="507">
        <f>R154*S154</f>
        <v>4</v>
      </c>
      <c r="V154" s="487">
        <v>1</v>
      </c>
      <c r="W154" s="512">
        <v>4.2</v>
      </c>
      <c r="X154" s="512">
        <f>V154*W154</f>
        <v>4.2</v>
      </c>
    </row>
    <row r="155" spans="2:24" x14ac:dyDescent="0.2">
      <c r="B155" s="412" t="s">
        <v>771</v>
      </c>
      <c r="C155" s="402" t="s">
        <v>462</v>
      </c>
      <c r="D155" s="476"/>
      <c r="E155" s="390"/>
      <c r="F155" s="351"/>
      <c r="G155" s="487">
        <v>1</v>
      </c>
      <c r="H155" s="507">
        <v>4</v>
      </c>
      <c r="I155" s="507">
        <f t="shared" ref="I155:I163" si="67">G155*H155</f>
        <v>4</v>
      </c>
      <c r="J155" s="18">
        <v>1</v>
      </c>
      <c r="K155" s="41">
        <v>4</v>
      </c>
      <c r="L155" s="41">
        <f t="shared" ref="L155:L163" si="68">J155*K155</f>
        <v>4</v>
      </c>
      <c r="N155" s="18">
        <v>1</v>
      </c>
      <c r="O155" s="41">
        <v>4</v>
      </c>
      <c r="P155" s="41">
        <f t="shared" ref="P155:P166" si="69">N155*O155</f>
        <v>4</v>
      </c>
      <c r="R155" s="487">
        <v>1</v>
      </c>
      <c r="S155" s="507">
        <v>4</v>
      </c>
      <c r="T155" s="507">
        <f t="shared" ref="T155:T166" si="70">R155*S155</f>
        <v>4</v>
      </c>
      <c r="V155" s="487">
        <v>1</v>
      </c>
      <c r="W155" s="512">
        <v>4.3</v>
      </c>
      <c r="X155" s="512">
        <f t="shared" ref="X155:X160" si="71">V155*W155</f>
        <v>4.3</v>
      </c>
    </row>
    <row r="156" spans="2:24" x14ac:dyDescent="0.2">
      <c r="B156" s="412" t="s">
        <v>772</v>
      </c>
      <c r="C156" s="402" t="s">
        <v>463</v>
      </c>
      <c r="D156" s="476"/>
      <c r="E156" s="390"/>
      <c r="F156" s="351"/>
      <c r="G156" s="487">
        <v>1</v>
      </c>
      <c r="H156" s="507">
        <v>5</v>
      </c>
      <c r="I156" s="507">
        <f t="shared" si="67"/>
        <v>5</v>
      </c>
      <c r="J156" s="18">
        <v>1</v>
      </c>
      <c r="K156" s="41">
        <v>5</v>
      </c>
      <c r="L156" s="41">
        <f t="shared" si="68"/>
        <v>5</v>
      </c>
      <c r="N156" s="18">
        <v>1</v>
      </c>
      <c r="O156" s="41">
        <v>5</v>
      </c>
      <c r="P156" s="41">
        <f t="shared" si="69"/>
        <v>5</v>
      </c>
      <c r="R156" s="487">
        <v>1</v>
      </c>
      <c r="S156" s="507">
        <v>5</v>
      </c>
      <c r="T156" s="507">
        <f t="shared" si="70"/>
        <v>5</v>
      </c>
      <c r="V156" s="487">
        <v>1</v>
      </c>
      <c r="W156" s="512">
        <v>5.7</v>
      </c>
      <c r="X156" s="512">
        <f t="shared" si="71"/>
        <v>5.7</v>
      </c>
    </row>
    <row r="157" spans="2:24" x14ac:dyDescent="0.2">
      <c r="B157" s="412" t="s">
        <v>773</v>
      </c>
      <c r="C157" s="402" t="s">
        <v>464</v>
      </c>
      <c r="D157" s="476"/>
      <c r="E157" s="390"/>
      <c r="F157" s="351"/>
      <c r="G157" s="487">
        <v>1</v>
      </c>
      <c r="H157" s="507">
        <v>6</v>
      </c>
      <c r="I157" s="507">
        <f t="shared" si="67"/>
        <v>6</v>
      </c>
      <c r="J157" s="18">
        <v>1</v>
      </c>
      <c r="K157" s="41">
        <v>6</v>
      </c>
      <c r="L157" s="41">
        <f t="shared" si="68"/>
        <v>6</v>
      </c>
      <c r="N157" s="18">
        <v>1</v>
      </c>
      <c r="O157" s="41">
        <v>6</v>
      </c>
      <c r="P157" s="41">
        <f t="shared" si="69"/>
        <v>6</v>
      </c>
      <c r="R157" s="487">
        <v>1</v>
      </c>
      <c r="S157" s="507">
        <v>6</v>
      </c>
      <c r="T157" s="507">
        <f t="shared" si="70"/>
        <v>6</v>
      </c>
      <c r="V157" s="487">
        <v>1</v>
      </c>
      <c r="W157" s="512">
        <v>6</v>
      </c>
      <c r="X157" s="512">
        <f t="shared" si="71"/>
        <v>6</v>
      </c>
    </row>
    <row r="158" spans="2:24" x14ac:dyDescent="0.2">
      <c r="B158" s="412" t="s">
        <v>774</v>
      </c>
      <c r="C158" s="402" t="s">
        <v>465</v>
      </c>
      <c r="D158" s="476"/>
      <c r="E158" s="390"/>
      <c r="F158" s="351"/>
      <c r="G158" s="487">
        <v>1</v>
      </c>
      <c r="H158" s="507">
        <v>15</v>
      </c>
      <c r="I158" s="507">
        <f t="shared" si="67"/>
        <v>15</v>
      </c>
      <c r="J158" s="18">
        <v>1</v>
      </c>
      <c r="K158" s="41">
        <v>14</v>
      </c>
      <c r="L158" s="41">
        <f t="shared" si="68"/>
        <v>14</v>
      </c>
      <c r="N158" s="18">
        <v>1</v>
      </c>
      <c r="O158" s="41">
        <v>16.8</v>
      </c>
      <c r="P158" s="41">
        <f t="shared" si="69"/>
        <v>16.8</v>
      </c>
      <c r="R158" s="487">
        <v>1</v>
      </c>
      <c r="S158" s="507">
        <v>16.8</v>
      </c>
      <c r="T158" s="507">
        <f t="shared" si="70"/>
        <v>16.8</v>
      </c>
      <c r="V158" s="487">
        <v>1</v>
      </c>
      <c r="W158" s="512">
        <v>13.2</v>
      </c>
      <c r="X158" s="512">
        <f t="shared" si="71"/>
        <v>13.2</v>
      </c>
    </row>
    <row r="159" spans="2:24" x14ac:dyDescent="0.2">
      <c r="B159" s="412" t="s">
        <v>775</v>
      </c>
      <c r="C159" s="402" t="s">
        <v>466</v>
      </c>
      <c r="D159" s="476"/>
      <c r="E159" s="390"/>
      <c r="F159" s="351"/>
      <c r="G159" s="487">
        <v>1</v>
      </c>
      <c r="H159" s="507">
        <v>2</v>
      </c>
      <c r="I159" s="507">
        <f t="shared" si="67"/>
        <v>2</v>
      </c>
      <c r="J159" s="18">
        <v>1</v>
      </c>
      <c r="K159" s="41">
        <v>4</v>
      </c>
      <c r="L159" s="41">
        <f t="shared" si="68"/>
        <v>4</v>
      </c>
      <c r="N159" s="18">
        <v>1</v>
      </c>
      <c r="O159" s="41">
        <v>3.7</v>
      </c>
      <c r="P159" s="41">
        <f t="shared" si="69"/>
        <v>3.7</v>
      </c>
      <c r="R159" s="487">
        <v>1</v>
      </c>
      <c r="S159" s="507">
        <v>3.7</v>
      </c>
      <c r="T159" s="507">
        <f t="shared" si="70"/>
        <v>3.7</v>
      </c>
      <c r="V159" s="487">
        <v>1</v>
      </c>
      <c r="W159" s="512">
        <v>3.7</v>
      </c>
      <c r="X159" s="512">
        <f t="shared" si="71"/>
        <v>3.7</v>
      </c>
    </row>
    <row r="160" spans="2:24" x14ac:dyDescent="0.2">
      <c r="B160" s="412" t="s">
        <v>776</v>
      </c>
      <c r="C160" s="402" t="s">
        <v>467</v>
      </c>
      <c r="D160" s="476"/>
      <c r="E160" s="390"/>
      <c r="F160" s="351"/>
      <c r="G160" s="487">
        <v>1</v>
      </c>
      <c r="H160" s="507">
        <v>18</v>
      </c>
      <c r="I160" s="507">
        <f t="shared" si="67"/>
        <v>18</v>
      </c>
      <c r="J160" s="18">
        <v>1</v>
      </c>
      <c r="K160" s="41">
        <v>18</v>
      </c>
      <c r="L160" s="41">
        <f t="shared" si="68"/>
        <v>18</v>
      </c>
      <c r="N160" s="18">
        <v>1</v>
      </c>
      <c r="O160" s="41">
        <v>18</v>
      </c>
      <c r="P160" s="41">
        <f t="shared" si="69"/>
        <v>18</v>
      </c>
      <c r="R160" s="487">
        <v>1</v>
      </c>
      <c r="S160" s="507">
        <v>18</v>
      </c>
      <c r="T160" s="507">
        <f t="shared" si="70"/>
        <v>18</v>
      </c>
      <c r="V160" s="487">
        <v>1</v>
      </c>
      <c r="W160" s="512">
        <v>18.600000000000001</v>
      </c>
      <c r="X160" s="512">
        <f t="shared" si="71"/>
        <v>18.600000000000001</v>
      </c>
    </row>
    <row r="161" spans="1:24" x14ac:dyDescent="0.2">
      <c r="B161" s="412" t="s">
        <v>777</v>
      </c>
      <c r="C161" s="402" t="s">
        <v>468</v>
      </c>
      <c r="D161" s="476"/>
      <c r="E161" s="390"/>
      <c r="F161" s="351"/>
      <c r="G161" s="487">
        <v>1</v>
      </c>
      <c r="H161" s="507">
        <v>2</v>
      </c>
      <c r="I161" s="507">
        <f t="shared" si="67"/>
        <v>2</v>
      </c>
      <c r="J161" s="18">
        <v>1</v>
      </c>
      <c r="K161" s="41">
        <v>4</v>
      </c>
      <c r="L161" s="41">
        <f t="shared" si="68"/>
        <v>4</v>
      </c>
      <c r="N161" s="18">
        <v>1</v>
      </c>
      <c r="O161" s="41">
        <v>3.5</v>
      </c>
      <c r="P161" s="41">
        <f t="shared" si="69"/>
        <v>3.5</v>
      </c>
      <c r="R161" s="487"/>
      <c r="S161" s="507"/>
      <c r="T161" s="507"/>
      <c r="V161" s="487"/>
      <c r="W161" s="512"/>
      <c r="X161" s="512"/>
    </row>
    <row r="162" spans="1:24" x14ac:dyDescent="0.2">
      <c r="B162" s="412" t="s">
        <v>778</v>
      </c>
      <c r="C162" s="508" t="s">
        <v>469</v>
      </c>
      <c r="D162" s="351"/>
      <c r="E162" s="349"/>
      <c r="F162" s="351"/>
      <c r="G162" s="406">
        <v>1</v>
      </c>
      <c r="H162" s="502">
        <v>30</v>
      </c>
      <c r="I162" s="502">
        <f t="shared" si="67"/>
        <v>30</v>
      </c>
      <c r="J162" s="18">
        <v>1</v>
      </c>
      <c r="K162" s="41">
        <v>30.6</v>
      </c>
      <c r="L162" s="41">
        <f t="shared" si="68"/>
        <v>30.6</v>
      </c>
      <c r="N162" s="18">
        <v>1</v>
      </c>
      <c r="O162" s="41">
        <v>29.5</v>
      </c>
      <c r="P162" s="41">
        <f t="shared" si="69"/>
        <v>29.5</v>
      </c>
      <c r="R162" s="487">
        <v>1</v>
      </c>
      <c r="S162" s="507">
        <v>32</v>
      </c>
      <c r="T162" s="507">
        <f t="shared" si="70"/>
        <v>32</v>
      </c>
      <c r="V162" s="406">
        <v>1</v>
      </c>
      <c r="W162" s="503">
        <v>40.4</v>
      </c>
      <c r="X162" s="503">
        <f t="shared" ref="X162:X166" si="72">V162*W162</f>
        <v>40.4</v>
      </c>
    </row>
    <row r="163" spans="1:24" x14ac:dyDescent="0.2">
      <c r="B163" s="173" t="s">
        <v>779</v>
      </c>
      <c r="C163" s="135" t="s">
        <v>961</v>
      </c>
      <c r="D163" s="423"/>
      <c r="E163" s="136" t="s">
        <v>476</v>
      </c>
      <c r="F163" s="351"/>
      <c r="G163" s="590">
        <v>1</v>
      </c>
      <c r="H163" s="583">
        <v>14</v>
      </c>
      <c r="I163" s="583">
        <f t="shared" si="67"/>
        <v>14</v>
      </c>
      <c r="J163" s="18">
        <v>1</v>
      </c>
      <c r="K163" s="41">
        <v>17.2</v>
      </c>
      <c r="L163" s="41">
        <f t="shared" si="68"/>
        <v>17.2</v>
      </c>
      <c r="N163" s="18">
        <v>1</v>
      </c>
      <c r="O163" s="41">
        <v>20.7</v>
      </c>
      <c r="P163" s="41">
        <f t="shared" si="69"/>
        <v>20.7</v>
      </c>
      <c r="R163" s="53">
        <v>1</v>
      </c>
      <c r="S163" s="496">
        <v>16</v>
      </c>
      <c r="T163" s="496">
        <f t="shared" si="70"/>
        <v>16</v>
      </c>
      <c r="V163" s="590">
        <v>1</v>
      </c>
      <c r="W163" s="506"/>
      <c r="X163" s="506">
        <f>W164+W165</f>
        <v>27.6</v>
      </c>
    </row>
    <row r="164" spans="1:24" x14ac:dyDescent="0.2">
      <c r="B164" s="173" t="s">
        <v>957</v>
      </c>
      <c r="C164" s="123" t="s">
        <v>959</v>
      </c>
      <c r="D164" s="74"/>
      <c r="E164" s="108"/>
      <c r="F164" s="344"/>
      <c r="G164" s="591"/>
      <c r="H164" s="565"/>
      <c r="I164" s="565"/>
      <c r="J164" s="47"/>
      <c r="K164" s="504"/>
      <c r="L164" s="41"/>
      <c r="N164" s="47"/>
      <c r="O164" s="504"/>
      <c r="P164" s="41"/>
      <c r="R164" s="47"/>
      <c r="S164" s="504"/>
      <c r="T164" s="41"/>
      <c r="V164" s="600"/>
      <c r="W164" s="505">
        <v>15.5</v>
      </c>
      <c r="X164" s="311"/>
    </row>
    <row r="165" spans="1:24" x14ac:dyDescent="0.2">
      <c r="B165" s="513" t="s">
        <v>958</v>
      </c>
      <c r="C165" s="183" t="s">
        <v>960</v>
      </c>
      <c r="D165" s="422"/>
      <c r="E165" s="334"/>
      <c r="F165" s="344"/>
      <c r="G165" s="592"/>
      <c r="H165" s="566"/>
      <c r="I165" s="566"/>
      <c r="J165" s="47"/>
      <c r="K165" s="504"/>
      <c r="L165" s="41"/>
      <c r="N165" s="47"/>
      <c r="O165" s="504"/>
      <c r="P165" s="41"/>
      <c r="R165" s="47"/>
      <c r="S165" s="504"/>
      <c r="T165" s="504"/>
      <c r="V165" s="47">
        <v>1</v>
      </c>
      <c r="W165" s="505">
        <v>12.1</v>
      </c>
      <c r="X165" s="505"/>
    </row>
    <row r="166" spans="1:24" x14ac:dyDescent="0.2">
      <c r="B166" s="412" t="s">
        <v>780</v>
      </c>
      <c r="C166" s="402" t="s">
        <v>471</v>
      </c>
      <c r="D166" s="476"/>
      <c r="E166" s="390" t="s">
        <v>477</v>
      </c>
      <c r="G166" s="487">
        <v>1</v>
      </c>
      <c r="H166" s="507" t="s">
        <v>454</v>
      </c>
      <c r="I166" s="507">
        <f>238*0.2</f>
        <v>47.6</v>
      </c>
      <c r="J166" s="47">
        <v>1</v>
      </c>
      <c r="K166" s="244"/>
      <c r="L166" s="41" t="s">
        <v>454</v>
      </c>
      <c r="N166" s="47">
        <v>1</v>
      </c>
      <c r="O166" s="244"/>
      <c r="P166" s="41">
        <f t="shared" si="69"/>
        <v>0</v>
      </c>
      <c r="R166" s="487">
        <v>1</v>
      </c>
      <c r="S166" s="507"/>
      <c r="T166" s="507">
        <f t="shared" si="70"/>
        <v>0</v>
      </c>
      <c r="V166" s="487">
        <v>1</v>
      </c>
      <c r="W166" s="512">
        <f>17.7+9.3+9.2</f>
        <v>36.200000000000003</v>
      </c>
      <c r="X166" s="512">
        <f t="shared" si="72"/>
        <v>36.200000000000003</v>
      </c>
    </row>
    <row r="167" spans="1:24" ht="18" x14ac:dyDescent="0.25">
      <c r="A167" t="s">
        <v>809</v>
      </c>
      <c r="B167" s="530" t="s">
        <v>113</v>
      </c>
      <c r="C167" s="531"/>
      <c r="D167" s="531"/>
      <c r="E167" s="531"/>
      <c r="F167" s="351"/>
      <c r="G167" s="360"/>
      <c r="H167" s="360"/>
      <c r="I167" s="50">
        <f>I170+I173+I168</f>
        <v>149</v>
      </c>
      <c r="J167" s="245"/>
      <c r="K167" s="243"/>
      <c r="L167" s="50">
        <f>L170+L173+L168</f>
        <v>155.4</v>
      </c>
      <c r="N167" s="245"/>
      <c r="O167" s="243"/>
      <c r="P167" s="50">
        <f>P170+P173+P168</f>
        <v>201.40000000000003</v>
      </c>
      <c r="R167" s="245"/>
      <c r="S167" s="243"/>
      <c r="T167" s="50">
        <f>T170+T173+T168</f>
        <v>201.40000000000003</v>
      </c>
      <c r="V167" s="245"/>
      <c r="W167" s="312"/>
      <c r="X167" s="313">
        <f>X170+X173+X168</f>
        <v>205.5</v>
      </c>
    </row>
    <row r="168" spans="1:24" x14ac:dyDescent="0.2">
      <c r="A168" t="s">
        <v>809</v>
      </c>
      <c r="B168" s="24"/>
      <c r="C168" s="34" t="s">
        <v>853</v>
      </c>
      <c r="D168" s="70"/>
      <c r="E168" s="363"/>
      <c r="F168" s="348"/>
      <c r="G168" s="364"/>
      <c r="H168" s="26"/>
      <c r="I168" s="27">
        <f>SUM(I169)</f>
        <v>15</v>
      </c>
      <c r="J168" s="25"/>
      <c r="K168" s="26"/>
      <c r="L168" s="27">
        <f>SUM(L169)</f>
        <v>15.1</v>
      </c>
      <c r="N168" s="25"/>
      <c r="O168" s="26"/>
      <c r="P168" s="27">
        <f>SUM(P169)</f>
        <v>39.9</v>
      </c>
      <c r="R168" s="498"/>
      <c r="S168" s="26"/>
      <c r="T168" s="27">
        <f>SUM(T169)</f>
        <v>39.9</v>
      </c>
      <c r="V168" s="364"/>
      <c r="W168" s="286"/>
      <c r="X168" s="287">
        <f>SUM(X169)</f>
        <v>43.7</v>
      </c>
    </row>
    <row r="169" spans="1:24" x14ac:dyDescent="0.2">
      <c r="B169" s="17" t="s">
        <v>859</v>
      </c>
      <c r="C169" s="123" t="s">
        <v>250</v>
      </c>
      <c r="D169" s="74"/>
      <c r="E169" s="108"/>
      <c r="F169" s="351"/>
      <c r="G169" s="18">
        <v>1</v>
      </c>
      <c r="H169" s="12">
        <v>15</v>
      </c>
      <c r="I169" s="19">
        <f>G169*H169</f>
        <v>15</v>
      </c>
      <c r="J169" s="18">
        <v>1</v>
      </c>
      <c r="K169" s="12">
        <v>15.1</v>
      </c>
      <c r="L169" s="19">
        <f>J169*K169</f>
        <v>15.1</v>
      </c>
      <c r="N169" s="18">
        <v>1</v>
      </c>
      <c r="O169" s="12">
        <v>39.9</v>
      </c>
      <c r="P169" s="19">
        <f>N169*O169</f>
        <v>39.9</v>
      </c>
      <c r="R169" s="18">
        <v>1</v>
      </c>
      <c r="S169" s="12">
        <v>39.9</v>
      </c>
      <c r="T169" s="19">
        <f>R169*S169</f>
        <v>39.9</v>
      </c>
      <c r="V169" s="18">
        <v>1</v>
      </c>
      <c r="W169" s="308">
        <v>43.7</v>
      </c>
      <c r="X169" s="112">
        <f>V169*W169</f>
        <v>43.7</v>
      </c>
    </row>
    <row r="170" spans="1:24" s="4" customFormat="1" x14ac:dyDescent="0.2">
      <c r="A170" s="4" t="s">
        <v>809</v>
      </c>
      <c r="B170" s="24"/>
      <c r="C170" s="34" t="s">
        <v>392</v>
      </c>
      <c r="D170" s="70"/>
      <c r="E170" s="363"/>
      <c r="F170" s="348"/>
      <c r="G170" s="364"/>
      <c r="H170" s="26"/>
      <c r="I170" s="27">
        <f>SUM(I171:I172)</f>
        <v>24</v>
      </c>
      <c r="J170" s="25"/>
      <c r="K170" s="26"/>
      <c r="L170" s="27">
        <f>SUM(L171:L172)</f>
        <v>24</v>
      </c>
      <c r="N170" s="25"/>
      <c r="O170" s="26"/>
      <c r="P170" s="27">
        <f>SUM(P171:P172)</f>
        <v>20.399999999999999</v>
      </c>
      <c r="R170" s="364"/>
      <c r="S170" s="26"/>
      <c r="T170" s="27">
        <f>SUM(T171:T172)</f>
        <v>20.399999999999999</v>
      </c>
      <c r="V170" s="364"/>
      <c r="W170" s="286"/>
      <c r="X170" s="287">
        <f>SUM(X171:X172)</f>
        <v>18.700000000000003</v>
      </c>
    </row>
    <row r="171" spans="1:24" x14ac:dyDescent="0.2">
      <c r="B171" s="17" t="s">
        <v>858</v>
      </c>
      <c r="C171" s="123" t="s">
        <v>236</v>
      </c>
      <c r="D171" s="74"/>
      <c r="E171" s="108"/>
      <c r="F171" s="351"/>
      <c r="G171" s="18">
        <v>3</v>
      </c>
      <c r="H171" s="12">
        <v>5</v>
      </c>
      <c r="I171" s="19">
        <f>G171*H171</f>
        <v>15</v>
      </c>
      <c r="J171" s="18">
        <v>3</v>
      </c>
      <c r="K171" s="12">
        <v>5</v>
      </c>
      <c r="L171" s="19">
        <f>J171*K171</f>
        <v>15</v>
      </c>
      <c r="N171" s="18">
        <v>3</v>
      </c>
      <c r="O171" s="12">
        <v>3.8</v>
      </c>
      <c r="P171" s="19">
        <f>N171*O171</f>
        <v>11.399999999999999</v>
      </c>
      <c r="R171" s="18">
        <v>3</v>
      </c>
      <c r="S171" s="12">
        <v>3.8</v>
      </c>
      <c r="T171" s="19">
        <f>R171*S171</f>
        <v>11.399999999999999</v>
      </c>
      <c r="V171" s="18">
        <v>3</v>
      </c>
      <c r="W171" s="112">
        <v>3.2</v>
      </c>
      <c r="X171" s="112">
        <f>V171*W171</f>
        <v>9.6000000000000014</v>
      </c>
    </row>
    <row r="172" spans="1:24" ht="25.5" x14ac:dyDescent="0.2">
      <c r="B172" s="17" t="s">
        <v>860</v>
      </c>
      <c r="C172" s="123" t="s">
        <v>239</v>
      </c>
      <c r="D172" s="74"/>
      <c r="E172" s="108" t="s">
        <v>560</v>
      </c>
      <c r="F172" s="351"/>
      <c r="G172" s="18">
        <v>1</v>
      </c>
      <c r="H172" s="12">
        <v>9</v>
      </c>
      <c r="I172" s="19">
        <f>G172*H172</f>
        <v>9</v>
      </c>
      <c r="J172" s="18">
        <v>1</v>
      </c>
      <c r="K172" s="12">
        <v>9</v>
      </c>
      <c r="L172" s="19">
        <f>J172*K172</f>
        <v>9</v>
      </c>
      <c r="N172" s="18">
        <v>1</v>
      </c>
      <c r="O172" s="12">
        <v>9</v>
      </c>
      <c r="P172" s="19">
        <f>N172*O172</f>
        <v>9</v>
      </c>
      <c r="R172" s="18">
        <v>1</v>
      </c>
      <c r="S172" s="12">
        <v>9</v>
      </c>
      <c r="T172" s="19">
        <f>R172*S172</f>
        <v>9</v>
      </c>
      <c r="V172" s="81">
        <v>1</v>
      </c>
      <c r="W172" s="325">
        <v>9.1</v>
      </c>
      <c r="X172" s="325">
        <f>V172*W172</f>
        <v>9.1</v>
      </c>
    </row>
    <row r="173" spans="1:24" s="4" customFormat="1" x14ac:dyDescent="0.2">
      <c r="A173" s="4" t="s">
        <v>809</v>
      </c>
      <c r="B173" s="24"/>
      <c r="C173" s="34" t="s">
        <v>617</v>
      </c>
      <c r="D173" s="70"/>
      <c r="E173" s="363"/>
      <c r="F173" s="348"/>
      <c r="G173" s="364"/>
      <c r="H173" s="26"/>
      <c r="I173" s="27">
        <f>SUM(I174:I175)</f>
        <v>110</v>
      </c>
      <c r="J173" s="25"/>
      <c r="K173" s="26"/>
      <c r="L173" s="27">
        <f>SUM(L174:L175)</f>
        <v>116.3</v>
      </c>
      <c r="N173" s="25"/>
      <c r="O173" s="26"/>
      <c r="P173" s="27">
        <f>SUM(P174:P175)</f>
        <v>141.10000000000002</v>
      </c>
      <c r="R173" s="364"/>
      <c r="S173" s="26"/>
      <c r="T173" s="27">
        <f>SUM(T174:T175)</f>
        <v>141.10000000000002</v>
      </c>
      <c r="V173" s="364"/>
      <c r="W173" s="286"/>
      <c r="X173" s="287">
        <f>SUM(X174:X175)</f>
        <v>143.1</v>
      </c>
    </row>
    <row r="174" spans="1:24" s="110" customFormat="1" ht="63.75" x14ac:dyDescent="0.2">
      <c r="A174" s="109"/>
      <c r="B174" s="412" t="s">
        <v>857</v>
      </c>
      <c r="C174" s="402" t="s">
        <v>631</v>
      </c>
      <c r="D174" s="390"/>
      <c r="E174" s="390" t="s">
        <v>632</v>
      </c>
      <c r="F174" s="349"/>
      <c r="G174" s="137"/>
      <c r="H174" s="138">
        <f>190/2</f>
        <v>95</v>
      </c>
      <c r="I174" s="139">
        <f>H174</f>
        <v>95</v>
      </c>
      <c r="J174" s="137"/>
      <c r="K174" s="138">
        <v>90</v>
      </c>
      <c r="L174" s="139">
        <f>K174</f>
        <v>90</v>
      </c>
      <c r="M174" s="109"/>
      <c r="N174" s="137"/>
      <c r="O174" s="138">
        <f>21.3+21.3+21+21+18.7+18.6</f>
        <v>121.9</v>
      </c>
      <c r="P174" s="139">
        <f>O174</f>
        <v>121.9</v>
      </c>
      <c r="R174" s="366"/>
      <c r="S174" s="405">
        <f>21.3+21.3+21+21+18.7+18.6</f>
        <v>121.9</v>
      </c>
      <c r="T174" s="367">
        <f>S174</f>
        <v>121.9</v>
      </c>
      <c r="V174" s="366">
        <v>6</v>
      </c>
      <c r="W174" s="394">
        <f>20.25</f>
        <v>20.25</v>
      </c>
      <c r="X174" s="394">
        <f>W174*V174</f>
        <v>121.5</v>
      </c>
    </row>
    <row r="175" spans="1:24" s="110" customFormat="1" ht="14.1" customHeight="1" x14ac:dyDescent="0.2">
      <c r="A175" s="109"/>
      <c r="B175" s="483" t="s">
        <v>857</v>
      </c>
      <c r="C175" s="399" t="s">
        <v>562</v>
      </c>
      <c r="D175" s="456"/>
      <c r="E175" s="456" t="s">
        <v>579</v>
      </c>
      <c r="F175" s="349"/>
      <c r="G175" s="61"/>
      <c r="H175" s="142">
        <v>15</v>
      </c>
      <c r="I175" s="62">
        <f>H175</f>
        <v>15</v>
      </c>
      <c r="J175" s="61"/>
      <c r="K175" s="142">
        <v>26.3</v>
      </c>
      <c r="L175" s="62">
        <f>K175</f>
        <v>26.3</v>
      </c>
      <c r="M175" s="109"/>
      <c r="N175" s="61"/>
      <c r="O175" s="142">
        <f>3.2*6</f>
        <v>19.200000000000003</v>
      </c>
      <c r="P175" s="62">
        <f>O175</f>
        <v>19.200000000000003</v>
      </c>
      <c r="R175" s="277"/>
      <c r="S175" s="528">
        <f>3.2*6</f>
        <v>19.200000000000003</v>
      </c>
      <c r="T175" s="529">
        <f>S175</f>
        <v>19.200000000000003</v>
      </c>
      <c r="V175" s="277">
        <v>6</v>
      </c>
      <c r="W175" s="418">
        <f>3.6</f>
        <v>3.6</v>
      </c>
      <c r="X175" s="418">
        <f>W175*V175</f>
        <v>21.6</v>
      </c>
    </row>
    <row r="176" spans="1:24" s="110" customFormat="1" ht="14.1" customHeight="1" x14ac:dyDescent="0.2">
      <c r="A176" s="109"/>
      <c r="B176" s="248"/>
      <c r="C176" s="249"/>
      <c r="D176" s="250"/>
      <c r="E176" s="250"/>
      <c r="F176" s="250"/>
      <c r="G176" s="251"/>
      <c r="H176" s="252"/>
      <c r="I176" s="253"/>
      <c r="J176" s="251"/>
      <c r="K176" s="252"/>
      <c r="L176" s="253"/>
      <c r="M176" s="109"/>
      <c r="N176" s="251"/>
      <c r="O176" s="252"/>
      <c r="P176" s="253"/>
      <c r="R176" s="251"/>
      <c r="S176" s="252"/>
      <c r="T176" s="253"/>
      <c r="V176" s="251"/>
      <c r="W176" s="314"/>
      <c r="X176" s="315"/>
    </row>
    <row r="177" spans="1:29" x14ac:dyDescent="0.2">
      <c r="B177" s="254"/>
      <c r="C177" s="449" t="s">
        <v>875</v>
      </c>
      <c r="D177" s="255"/>
      <c r="E177" s="460"/>
      <c r="F177" s="350"/>
      <c r="G177" s="256"/>
      <c r="H177" s="246"/>
      <c r="I177" s="246"/>
      <c r="J177" s="256"/>
      <c r="K177" s="246"/>
      <c r="L177" s="258">
        <f>11+9+17+177+250+150</f>
        <v>614</v>
      </c>
      <c r="M177" s="6"/>
      <c r="N177" s="256"/>
      <c r="O177" s="246"/>
      <c r="P177" s="258">
        <f>12.6+149.8+250+140+9.3+18.1+17.7+6.8</f>
        <v>604.29999999999995</v>
      </c>
      <c r="R177" s="256"/>
      <c r="S177" s="246"/>
      <c r="T177" s="258">
        <f>12.6+149.8+250+140+9.3+18.1+17.7+6.8</f>
        <v>604.29999999999995</v>
      </c>
      <c r="V177" s="256"/>
      <c r="W177" s="316"/>
      <c r="X177" s="317">
        <f>AC177</f>
        <v>618.79999999999995</v>
      </c>
      <c r="AC177">
        <f>10.8+220.9+230.8+156.3</f>
        <v>618.79999999999995</v>
      </c>
    </row>
    <row r="178" spans="1:29" x14ac:dyDescent="0.2">
      <c r="B178" s="254"/>
      <c r="C178" s="449" t="s">
        <v>876</v>
      </c>
      <c r="D178" s="255"/>
      <c r="E178" s="460"/>
      <c r="F178" s="350"/>
      <c r="G178" s="256"/>
      <c r="H178" s="246"/>
      <c r="I178" s="246"/>
      <c r="J178" s="256"/>
      <c r="K178" s="246"/>
      <c r="L178" s="259">
        <f>24+14+49+10+14+8+34+11+20+200</f>
        <v>384</v>
      </c>
      <c r="N178" s="256"/>
      <c r="O178" s="246"/>
      <c r="P178" s="259">
        <f>337+10+39.8+31.6+15+8.9+7.5+25.7+13.2</f>
        <v>488.7</v>
      </c>
      <c r="R178" s="256"/>
      <c r="S178" s="246"/>
      <c r="T178" s="259">
        <f>290+10+39.8+31.6+15+8.9+7.5+25.7+13.2</f>
        <v>441.7</v>
      </c>
      <c r="V178" s="256"/>
      <c r="W178" s="316"/>
      <c r="X178" s="318">
        <f>AC178</f>
        <v>452.3</v>
      </c>
      <c r="AC178">
        <f>287+71+42.3+31+5.6+7.7+7.7</f>
        <v>452.3</v>
      </c>
    </row>
    <row r="179" spans="1:29" x14ac:dyDescent="0.2">
      <c r="B179" s="254"/>
      <c r="C179" s="449" t="s">
        <v>879</v>
      </c>
      <c r="D179" s="255"/>
      <c r="E179" s="460"/>
      <c r="F179" s="350"/>
      <c r="G179" s="256"/>
      <c r="H179" s="246"/>
      <c r="I179" s="246"/>
      <c r="J179" s="256"/>
      <c r="K179" s="246"/>
      <c r="L179" s="259">
        <v>5575</v>
      </c>
      <c r="N179" s="256"/>
      <c r="O179" s="246"/>
      <c r="P179" s="259">
        <f>1575+1412+1568+1062</f>
        <v>5617</v>
      </c>
      <c r="R179" s="256"/>
      <c r="S179" s="246"/>
      <c r="T179" s="259">
        <f>1575+1412+1568+1062</f>
        <v>5617</v>
      </c>
      <c r="V179" s="256"/>
      <c r="W179" s="316"/>
      <c r="X179" s="318">
        <f>1575+1412+1568+1062</f>
        <v>5617</v>
      </c>
    </row>
    <row r="180" spans="1:29" x14ac:dyDescent="0.2">
      <c r="B180" s="254"/>
      <c r="C180" s="449" t="s">
        <v>878</v>
      </c>
      <c r="D180" s="255"/>
      <c r="E180" s="460"/>
      <c r="F180" s="350"/>
      <c r="G180" s="256"/>
      <c r="H180" s="246"/>
      <c r="I180" s="246"/>
      <c r="J180" s="256"/>
      <c r="K180" s="246"/>
      <c r="L180" s="260">
        <f>L179/L5</f>
        <v>1.2045901908546215</v>
      </c>
      <c r="N180" s="256"/>
      <c r="O180" s="246"/>
      <c r="P180" s="260">
        <f>P179/P5</f>
        <v>1.1800916004874156</v>
      </c>
      <c r="R180" s="256"/>
      <c r="S180" s="246"/>
      <c r="T180" s="260">
        <f>T179/T5</f>
        <v>1.1761380292307049</v>
      </c>
      <c r="V180" s="256"/>
      <c r="W180" s="316"/>
      <c r="X180" s="318">
        <f>X179/X5</f>
        <v>1.1622902311337349</v>
      </c>
    </row>
    <row r="181" spans="1:29" x14ac:dyDescent="0.2">
      <c r="C181" s="194"/>
      <c r="D181"/>
      <c r="E181" s="194"/>
      <c r="F181"/>
      <c r="G181"/>
      <c r="H181"/>
      <c r="I181"/>
      <c r="J181"/>
      <c r="K181"/>
      <c r="L181"/>
      <c r="W181" s="319"/>
      <c r="X181" s="319"/>
    </row>
    <row r="182" spans="1:29" ht="15" x14ac:dyDescent="0.2">
      <c r="A182" s="189" t="s">
        <v>809</v>
      </c>
      <c r="B182" s="3" t="s">
        <v>1</v>
      </c>
      <c r="C182" s="445" t="s">
        <v>2</v>
      </c>
      <c r="D182" s="68"/>
      <c r="E182" s="453"/>
      <c r="F182" s="345"/>
      <c r="G182" s="10" t="s">
        <v>3</v>
      </c>
      <c r="H182" s="7"/>
      <c r="I182" s="7" t="s">
        <v>818</v>
      </c>
      <c r="J182" s="10" t="s">
        <v>3</v>
      </c>
      <c r="K182" s="7"/>
      <c r="L182" s="7" t="s">
        <v>818</v>
      </c>
      <c r="N182" s="10" t="s">
        <v>3</v>
      </c>
      <c r="O182" s="7"/>
      <c r="P182" s="7" t="s">
        <v>818</v>
      </c>
      <c r="R182" s="10" t="s">
        <v>3</v>
      </c>
      <c r="S182" s="7"/>
      <c r="T182" s="7" t="s">
        <v>818</v>
      </c>
      <c r="V182" s="10" t="s">
        <v>3</v>
      </c>
      <c r="W182" s="320"/>
      <c r="X182" s="320" t="s">
        <v>818</v>
      </c>
    </row>
    <row r="183" spans="1:29" ht="3" customHeight="1" x14ac:dyDescent="0.2">
      <c r="N183" s="11"/>
      <c r="O183" s="6"/>
      <c r="P183" s="6"/>
      <c r="R183" s="11"/>
      <c r="S183" s="6"/>
      <c r="T183" s="6"/>
      <c r="V183" s="11"/>
      <c r="W183" s="319"/>
      <c r="X183" s="319"/>
    </row>
    <row r="184" spans="1:29" ht="20.25" x14ac:dyDescent="0.3">
      <c r="A184" t="s">
        <v>809</v>
      </c>
      <c r="B184" s="550" t="s">
        <v>847</v>
      </c>
      <c r="C184" s="551"/>
      <c r="D184" s="551"/>
      <c r="E184" s="551"/>
      <c r="F184" s="346"/>
      <c r="G184" s="361"/>
      <c r="H184" s="361"/>
      <c r="I184" s="8">
        <f>I185+I188</f>
        <v>10124</v>
      </c>
      <c r="J184" s="228"/>
      <c r="K184" s="228"/>
      <c r="L184" s="8">
        <f>L185+L188</f>
        <v>5864</v>
      </c>
      <c r="N184" s="228"/>
      <c r="O184" s="228"/>
      <c r="P184" s="8">
        <f>P185+P188</f>
        <v>5614</v>
      </c>
      <c r="R184" s="228"/>
      <c r="S184" s="228"/>
      <c r="T184" s="8">
        <f>T185+T188</f>
        <v>5614</v>
      </c>
      <c r="V184" s="228"/>
      <c r="W184" s="321"/>
      <c r="X184" s="322">
        <f>X185+X188</f>
        <v>5614</v>
      </c>
    </row>
    <row r="185" spans="1:29" ht="18" x14ac:dyDescent="0.25">
      <c r="A185" t="s">
        <v>809</v>
      </c>
      <c r="B185" s="572" t="s">
        <v>877</v>
      </c>
      <c r="C185" s="573"/>
      <c r="D185" s="573"/>
      <c r="E185" s="573"/>
      <c r="F185" s="355"/>
      <c r="G185" s="147"/>
      <c r="H185" s="210"/>
      <c r="I185" s="145">
        <f>SUM(I186:I187)</f>
        <v>3834</v>
      </c>
      <c r="J185" s="147"/>
      <c r="K185" s="210"/>
      <c r="L185" s="145">
        <f>SUM(L186:L187)</f>
        <v>2433</v>
      </c>
      <c r="N185" s="147"/>
      <c r="O185" s="210"/>
      <c r="P185" s="145">
        <f>SUM(P186:P187)</f>
        <v>2433</v>
      </c>
      <c r="R185" s="147"/>
      <c r="S185" s="210"/>
      <c r="T185" s="145">
        <f>SUM(T186:T187)</f>
        <v>2433</v>
      </c>
      <c r="V185" s="147"/>
      <c r="W185" s="323"/>
      <c r="X185" s="324">
        <f>SUM(X186:X187)</f>
        <v>2433</v>
      </c>
    </row>
    <row r="186" spans="1:29" x14ac:dyDescent="0.2">
      <c r="B186" s="17"/>
      <c r="C186" s="123" t="s">
        <v>817</v>
      </c>
      <c r="D186" s="74"/>
      <c r="E186" s="108"/>
      <c r="F186" s="351"/>
      <c r="G186" s="81"/>
      <c r="H186" s="192"/>
      <c r="I186" s="223">
        <v>3634</v>
      </c>
      <c r="J186" s="81"/>
      <c r="K186" s="192"/>
      <c r="L186" s="223">
        <v>2183</v>
      </c>
      <c r="N186" s="81"/>
      <c r="O186" s="192"/>
      <c r="P186" s="223">
        <v>2183</v>
      </c>
      <c r="R186" s="81"/>
      <c r="S186" s="192"/>
      <c r="T186" s="223">
        <v>2183</v>
      </c>
      <c r="V186" s="81"/>
      <c r="W186" s="325"/>
      <c r="X186" s="326">
        <v>2183</v>
      </c>
    </row>
    <row r="187" spans="1:29" x14ac:dyDescent="0.2">
      <c r="B187" s="17"/>
      <c r="C187" s="184" t="s">
        <v>644</v>
      </c>
      <c r="D187" s="177"/>
      <c r="E187" s="461"/>
      <c r="F187" s="356"/>
      <c r="G187" s="81">
        <v>1</v>
      </c>
      <c r="H187" s="192">
        <v>200</v>
      </c>
      <c r="I187" s="523">
        <v>200</v>
      </c>
      <c r="J187" s="81"/>
      <c r="K187" s="192"/>
      <c r="L187" s="191">
        <v>250</v>
      </c>
      <c r="M187" s="181"/>
      <c r="N187" s="81"/>
      <c r="O187" s="192"/>
      <c r="P187" s="191">
        <v>250</v>
      </c>
      <c r="R187" s="81"/>
      <c r="S187" s="192"/>
      <c r="T187" s="191">
        <v>250</v>
      </c>
      <c r="V187" s="81"/>
      <c r="W187" s="325"/>
      <c r="X187" s="327">
        <v>250</v>
      </c>
    </row>
    <row r="188" spans="1:29" ht="18" x14ac:dyDescent="0.25">
      <c r="A188" t="s">
        <v>809</v>
      </c>
      <c r="B188" s="572" t="s">
        <v>850</v>
      </c>
      <c r="C188" s="573"/>
      <c r="D188" s="573"/>
      <c r="E188" s="573"/>
      <c r="F188" s="355"/>
      <c r="G188" s="147">
        <f>SUM(G189:G192)</f>
        <v>250</v>
      </c>
      <c r="H188" s="210"/>
      <c r="I188" s="145">
        <f>SUM(I189:I192)</f>
        <v>6290</v>
      </c>
      <c r="J188" s="147">
        <f>SUM(J189:J192)</f>
        <v>270</v>
      </c>
      <c r="K188" s="210"/>
      <c r="L188" s="145">
        <f>SUM(L189:L192)</f>
        <v>3431</v>
      </c>
      <c r="N188" s="147">
        <f>SUM(N189:N192)</f>
        <v>250</v>
      </c>
      <c r="O188" s="210"/>
      <c r="P188" s="145">
        <f>SUM(P189:P192)</f>
        <v>3181</v>
      </c>
      <c r="R188" s="147">
        <f>SUM(R189:R192)</f>
        <v>250</v>
      </c>
      <c r="S188" s="210"/>
      <c r="T188" s="145">
        <f>SUM(T189:T192)</f>
        <v>3181</v>
      </c>
      <c r="V188" s="362">
        <f>SUM(V189:V192)</f>
        <v>250</v>
      </c>
      <c r="W188" s="323"/>
      <c r="X188" s="324">
        <f>SUM(X189:X192)</f>
        <v>3181</v>
      </c>
    </row>
    <row r="189" spans="1:29" ht="25.5" x14ac:dyDescent="0.2">
      <c r="B189" s="17"/>
      <c r="C189" s="123" t="s">
        <v>623</v>
      </c>
      <c r="D189" s="74"/>
      <c r="E189" s="108"/>
      <c r="F189" s="351"/>
      <c r="G189" s="81">
        <f>10-G190</f>
        <v>9</v>
      </c>
      <c r="H189" s="192">
        <v>25</v>
      </c>
      <c r="I189" s="190">
        <f>G189*H189</f>
        <v>225</v>
      </c>
      <c r="J189" s="81">
        <v>10</v>
      </c>
      <c r="K189" s="192">
        <v>12.5</v>
      </c>
      <c r="L189" s="190">
        <f>J189*K189</f>
        <v>125</v>
      </c>
      <c r="N189" s="81">
        <v>10</v>
      </c>
      <c r="O189" s="192">
        <v>12.5</v>
      </c>
      <c r="P189" s="190">
        <f>N189*O189</f>
        <v>125</v>
      </c>
      <c r="R189" s="81">
        <v>10</v>
      </c>
      <c r="S189" s="192">
        <v>12.5</v>
      </c>
      <c r="T189" s="190">
        <f>R189*S189</f>
        <v>125</v>
      </c>
      <c r="V189" s="81">
        <v>10</v>
      </c>
      <c r="W189" s="325">
        <v>12.5</v>
      </c>
      <c r="X189" s="328">
        <f>V189*W189</f>
        <v>125</v>
      </c>
    </row>
    <row r="190" spans="1:29" ht="25.5" x14ac:dyDescent="0.2">
      <c r="B190" s="17"/>
      <c r="C190" s="123" t="s">
        <v>813</v>
      </c>
      <c r="D190" s="74"/>
      <c r="E190" s="108"/>
      <c r="F190" s="351"/>
      <c r="G190" s="81">
        <v>1</v>
      </c>
      <c r="H190" s="192">
        <v>33</v>
      </c>
      <c r="I190" s="190">
        <f t="shared" ref="I190" si="73">G190*H190</f>
        <v>33</v>
      </c>
      <c r="J190" s="81">
        <v>1</v>
      </c>
      <c r="K190" s="192">
        <v>16.5</v>
      </c>
      <c r="L190" s="190">
        <f t="shared" ref="L190" si="74">J190*K190</f>
        <v>16.5</v>
      </c>
      <c r="N190" s="81">
        <v>1</v>
      </c>
      <c r="O190" s="192">
        <v>16.5</v>
      </c>
      <c r="P190" s="190">
        <f t="shared" ref="P190" si="75">N190*O190</f>
        <v>16.5</v>
      </c>
      <c r="R190" s="81">
        <v>1</v>
      </c>
      <c r="S190" s="192">
        <v>16.5</v>
      </c>
      <c r="T190" s="190">
        <f t="shared" ref="T190" si="76">R190*S190</f>
        <v>16.5</v>
      </c>
      <c r="V190" s="81">
        <v>1</v>
      </c>
      <c r="W190" s="325">
        <v>16.5</v>
      </c>
      <c r="X190" s="328">
        <f t="shared" ref="X190" si="77">V190*W190</f>
        <v>16.5</v>
      </c>
    </row>
    <row r="191" spans="1:29" ht="25.5" x14ac:dyDescent="0.2">
      <c r="B191" s="17"/>
      <c r="C191" s="123" t="s">
        <v>624</v>
      </c>
      <c r="D191" s="74"/>
      <c r="E191" s="108"/>
      <c r="F191" s="351"/>
      <c r="G191" s="186">
        <v>236</v>
      </c>
      <c r="H191" s="192">
        <v>25</v>
      </c>
      <c r="I191" s="190">
        <f>G191*H191</f>
        <v>5900</v>
      </c>
      <c r="J191" s="186">
        <v>246</v>
      </c>
      <c r="K191" s="192">
        <v>12.5</v>
      </c>
      <c r="L191" s="190">
        <f>J191*K191</f>
        <v>3075</v>
      </c>
      <c r="N191" s="186">
        <v>226</v>
      </c>
      <c r="O191" s="192">
        <v>12.5</v>
      </c>
      <c r="P191" s="190">
        <f>N191*O191</f>
        <v>2825</v>
      </c>
      <c r="R191" s="186">
        <v>226</v>
      </c>
      <c r="S191" s="192">
        <v>12.5</v>
      </c>
      <c r="T191" s="190">
        <f>R191*S191</f>
        <v>2825</v>
      </c>
      <c r="V191" s="186">
        <v>226</v>
      </c>
      <c r="W191" s="325">
        <v>12.5</v>
      </c>
      <c r="X191" s="328">
        <f>V191*W191</f>
        <v>2825</v>
      </c>
    </row>
    <row r="192" spans="1:29" ht="25.5" x14ac:dyDescent="0.2">
      <c r="B192" s="42"/>
      <c r="C192" s="183" t="s">
        <v>815</v>
      </c>
      <c r="D192" s="75"/>
      <c r="E192" s="141"/>
      <c r="F192" s="344"/>
      <c r="G192" s="220">
        <v>4</v>
      </c>
      <c r="H192" s="213">
        <v>33</v>
      </c>
      <c r="I192" s="247">
        <f>H192*G192</f>
        <v>132</v>
      </c>
      <c r="J192" s="187">
        <v>13</v>
      </c>
      <c r="K192" s="213">
        <v>16.5</v>
      </c>
      <c r="L192" s="190">
        <f>K192*J192</f>
        <v>214.5</v>
      </c>
      <c r="N192" s="187">
        <v>13</v>
      </c>
      <c r="O192" s="213">
        <v>16.5</v>
      </c>
      <c r="P192" s="190">
        <f>O192*N192</f>
        <v>214.5</v>
      </c>
      <c r="R192" s="187">
        <v>13</v>
      </c>
      <c r="S192" s="213">
        <v>16.5</v>
      </c>
      <c r="T192" s="190">
        <f>S192*R192</f>
        <v>214.5</v>
      </c>
      <c r="V192" s="220">
        <v>13</v>
      </c>
      <c r="W192" s="329">
        <v>16.5</v>
      </c>
      <c r="X192" s="328">
        <f>W192*V192</f>
        <v>214.5</v>
      </c>
    </row>
    <row r="193" spans="2:24" x14ac:dyDescent="0.2">
      <c r="C193" s="450"/>
      <c r="G193" s="211"/>
      <c r="H193" s="180" t="s">
        <v>619</v>
      </c>
      <c r="I193" s="180">
        <f>I189+I191+I192+I190</f>
        <v>6290</v>
      </c>
      <c r="J193" s="211"/>
      <c r="K193" s="180" t="s">
        <v>619</v>
      </c>
      <c r="L193" s="180">
        <f>L189+L191+L192+L190</f>
        <v>3431</v>
      </c>
      <c r="N193" s="211"/>
      <c r="O193" s="180" t="s">
        <v>619</v>
      </c>
      <c r="P193" s="180">
        <f>P189+P191+P192+P190</f>
        <v>3181</v>
      </c>
      <c r="R193" s="211"/>
      <c r="S193" s="180" t="s">
        <v>619</v>
      </c>
      <c r="T193" s="180">
        <f>T189+T191+T192+T190</f>
        <v>3181</v>
      </c>
      <c r="V193" s="211"/>
      <c r="W193" s="330" t="s">
        <v>619</v>
      </c>
      <c r="X193" s="330">
        <f>X189+X191+X192+X190</f>
        <v>3181</v>
      </c>
    </row>
    <row r="194" spans="2:24" x14ac:dyDescent="0.2">
      <c r="I194" s="6">
        <f>I193/2</f>
        <v>3145</v>
      </c>
      <c r="L194" s="6">
        <f>L193/2</f>
        <v>1715.5</v>
      </c>
      <c r="M194" s="148"/>
      <c r="N194" s="11"/>
      <c r="O194" s="6"/>
      <c r="P194" s="6">
        <f>P193/2</f>
        <v>1590.5</v>
      </c>
      <c r="R194" s="11"/>
      <c r="S194" s="6"/>
      <c r="T194" s="6">
        <f>T193/2</f>
        <v>1590.5</v>
      </c>
      <c r="V194" s="11"/>
      <c r="W194" s="319"/>
      <c r="X194" s="319">
        <f>X193/2</f>
        <v>1590.5</v>
      </c>
    </row>
    <row r="195" spans="2:24" x14ac:dyDescent="0.2">
      <c r="B195" s="254"/>
      <c r="C195" s="449" t="s">
        <v>873</v>
      </c>
      <c r="D195" s="255"/>
      <c r="E195" s="460"/>
      <c r="F195" s="350"/>
      <c r="G195" s="256"/>
      <c r="H195" s="246"/>
      <c r="I195" s="246"/>
      <c r="J195" s="256"/>
      <c r="K195" s="246"/>
      <c r="L195" s="258">
        <v>2600</v>
      </c>
      <c r="M195" s="6"/>
      <c r="N195" s="256"/>
      <c r="O195" s="246"/>
      <c r="P195" s="258">
        <f>1200*2</f>
        <v>2400</v>
      </c>
      <c r="R195" s="256"/>
      <c r="S195" s="246"/>
      <c r="T195" s="258">
        <f>1200*2</f>
        <v>2400</v>
      </c>
      <c r="V195" s="256"/>
      <c r="W195" s="316"/>
      <c r="X195" s="317">
        <f>1200*2</f>
        <v>2400</v>
      </c>
    </row>
    <row r="196" spans="2:24" x14ac:dyDescent="0.2">
      <c r="B196" s="254"/>
      <c r="C196" s="449" t="s">
        <v>874</v>
      </c>
      <c r="D196" s="255"/>
      <c r="E196" s="460"/>
      <c r="F196" s="350"/>
      <c r="G196" s="256"/>
      <c r="H196" s="246"/>
      <c r="I196" s="246"/>
      <c r="J196" s="256"/>
      <c r="K196" s="246"/>
      <c r="L196" s="259">
        <v>0</v>
      </c>
      <c r="N196" s="256"/>
      <c r="O196" s="246"/>
      <c r="P196" s="259">
        <v>0</v>
      </c>
      <c r="R196" s="256"/>
      <c r="S196" s="246"/>
      <c r="T196" s="259">
        <v>0</v>
      </c>
      <c r="V196" s="256"/>
      <c r="W196" s="316"/>
      <c r="X196" s="318">
        <v>0</v>
      </c>
    </row>
    <row r="197" spans="2:24" x14ac:dyDescent="0.2">
      <c r="B197" s="254"/>
      <c r="C197" s="449" t="s">
        <v>880</v>
      </c>
      <c r="D197" s="255"/>
      <c r="E197" s="460"/>
      <c r="F197" s="350"/>
      <c r="G197" s="256"/>
      <c r="H197" s="246"/>
      <c r="I197" s="246"/>
      <c r="J197" s="256"/>
      <c r="K197" s="246"/>
      <c r="L197" s="259">
        <v>6716</v>
      </c>
      <c r="N197" s="256"/>
      <c r="O197" s="246"/>
      <c r="P197" s="259">
        <f>3155+3202</f>
        <v>6357</v>
      </c>
      <c r="R197" s="256"/>
      <c r="S197" s="246"/>
      <c r="T197" s="259">
        <f>3155+3202</f>
        <v>6357</v>
      </c>
      <c r="V197" s="256"/>
      <c r="W197" s="316"/>
      <c r="X197" s="318">
        <f>3155+3202</f>
        <v>6357</v>
      </c>
    </row>
    <row r="198" spans="2:24" x14ac:dyDescent="0.2">
      <c r="B198" s="254"/>
      <c r="C198" s="449" t="s">
        <v>881</v>
      </c>
      <c r="D198" s="255"/>
      <c r="E198" s="460"/>
      <c r="F198" s="350"/>
      <c r="G198" s="256"/>
      <c r="H198" s="246"/>
      <c r="I198" s="246"/>
      <c r="J198" s="256"/>
      <c r="K198" s="246"/>
      <c r="L198" s="260">
        <f>L197/L188</f>
        <v>1.9574468085106382</v>
      </c>
      <c r="N198" s="256"/>
      <c r="O198" s="246"/>
      <c r="P198" s="260">
        <f>P197/P188</f>
        <v>1.9984281672430053</v>
      </c>
      <c r="R198" s="256"/>
      <c r="S198" s="246"/>
      <c r="T198" s="260">
        <f>T197/T188</f>
        <v>1.9984281672430053</v>
      </c>
      <c r="V198" s="256"/>
      <c r="W198" s="316"/>
      <c r="X198" s="318">
        <f>X197/X188</f>
        <v>1.9984281672430053</v>
      </c>
    </row>
    <row r="199" spans="2:24" x14ac:dyDescent="0.2">
      <c r="O199" s="171"/>
    </row>
    <row r="200" spans="2:24" x14ac:dyDescent="0.2">
      <c r="O200" s="171"/>
    </row>
    <row r="201" spans="2:24" x14ac:dyDescent="0.2">
      <c r="N201" s="162"/>
    </row>
  </sheetData>
  <autoFilter ref="A1:A204" xr:uid="{DF64D6F6-2EEC-4BCC-BD0B-4D79E90550FB}"/>
  <mergeCells count="69">
    <mergeCell ref="G163:G165"/>
    <mergeCell ref="H163:H165"/>
    <mergeCell ref="I163:I165"/>
    <mergeCell ref="V163:V164"/>
    <mergeCell ref="W134:W135"/>
    <mergeCell ref="V134:V135"/>
    <mergeCell ref="G110:G118"/>
    <mergeCell ref="H110:H118"/>
    <mergeCell ref="I110:I118"/>
    <mergeCell ref="X134:X135"/>
    <mergeCell ref="E110:E118"/>
    <mergeCell ref="E119:E123"/>
    <mergeCell ref="G119:G123"/>
    <mergeCell ref="H119:H123"/>
    <mergeCell ref="I119:I123"/>
    <mergeCell ref="G84:G88"/>
    <mergeCell ref="H84:H88"/>
    <mergeCell ref="I84:I88"/>
    <mergeCell ref="H102:H104"/>
    <mergeCell ref="I102:I104"/>
    <mergeCell ref="I66:I70"/>
    <mergeCell ref="I72:I75"/>
    <mergeCell ref="G77:G83"/>
    <mergeCell ref="H77:H83"/>
    <mergeCell ref="I77:I83"/>
    <mergeCell ref="E35:E51"/>
    <mergeCell ref="G34:H34"/>
    <mergeCell ref="E66:E70"/>
    <mergeCell ref="G66:G70"/>
    <mergeCell ref="H66:H70"/>
    <mergeCell ref="B188:E188"/>
    <mergeCell ref="B185:E185"/>
    <mergeCell ref="G11:H11"/>
    <mergeCell ref="E28:E30"/>
    <mergeCell ref="D28:D30"/>
    <mergeCell ref="G28:G30"/>
    <mergeCell ref="H28:H30"/>
    <mergeCell ref="G61:G64"/>
    <mergeCell ref="H61:H64"/>
    <mergeCell ref="G72:G75"/>
    <mergeCell ref="H72:H75"/>
    <mergeCell ref="G102:G104"/>
    <mergeCell ref="B24:E24"/>
    <mergeCell ref="B16:E16"/>
    <mergeCell ref="B33:E33"/>
    <mergeCell ref="B91:E91"/>
    <mergeCell ref="V2:X2"/>
    <mergeCell ref="E13:E15"/>
    <mergeCell ref="G13:G15"/>
    <mergeCell ref="H13:H15"/>
    <mergeCell ref="I13:I15"/>
    <mergeCell ref="B7:E7"/>
    <mergeCell ref="G2:I2"/>
    <mergeCell ref="B98:E98"/>
    <mergeCell ref="B131:E131"/>
    <mergeCell ref="B167:E167"/>
    <mergeCell ref="B184:E184"/>
    <mergeCell ref="R2:T2"/>
    <mergeCell ref="N2:P2"/>
    <mergeCell ref="J2:L2"/>
    <mergeCell ref="I28:I30"/>
    <mergeCell ref="G35:G51"/>
    <mergeCell ref="H35:H51"/>
    <mergeCell ref="I35:I51"/>
    <mergeCell ref="G52:G59"/>
    <mergeCell ref="H52:H59"/>
    <mergeCell ref="I52:I59"/>
    <mergeCell ref="I61:I64"/>
    <mergeCell ref="E52:E59"/>
  </mergeCells>
  <phoneticPr fontId="8" type="noConversion"/>
  <conditionalFormatting sqref="M194">
    <cfRule type="cellIs" dxfId="0" priority="2" operator="equal">
      <formula>$I$5</formula>
    </cfRule>
  </conditionalFormatting>
  <pageMargins left="0.7" right="0.7" top="0.75" bottom="0.75" header="0.3" footer="0.3"/>
  <pageSetup paperSize="8" scale="86" fitToHeight="0" orientation="portrait" r:id="rId1"/>
  <ignoredErrors>
    <ignoredError sqref="I11 I31 I192 I16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Existant</vt:lpstr>
      <vt:lpstr>Programme</vt:lpstr>
      <vt:lpstr>Comparaison</vt:lpstr>
      <vt:lpstr>Programme bât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RIJIKOV</dc:creator>
  <cp:lastModifiedBy>Christophe Bidaud Architectes</cp:lastModifiedBy>
  <cp:lastPrinted>2023-03-17T15:15:55Z</cp:lastPrinted>
  <dcterms:created xsi:type="dcterms:W3CDTF">2022-05-09T15:55:42Z</dcterms:created>
  <dcterms:modified xsi:type="dcterms:W3CDTF">2024-09-19T09:54:15Z</dcterms:modified>
</cp:coreProperties>
</file>