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990" tabRatio="693"/>
  </bookViews>
  <sheets>
    <sheet name="Guide d'utilisation" sheetId="17" r:id="rId1"/>
    <sheet name="Type de projet et squad" sheetId="5" r:id="rId2"/>
    <sheet name="Suivi du Périmètre" sheetId="1" r:id="rId3"/>
    <sheet name="Suivi des anomalies" sheetId="16" r:id="rId4"/>
    <sheet name="Synthèse" sheetId="15" r:id="rId5"/>
    <sheet name="Paramètres" sheetId="8" r:id="rId6"/>
    <sheet name="Synthèse Cycle" sheetId="3" state="hidden" r:id="rId7"/>
    <sheet name="Demande de corrections du cycle" sheetId="4" state="hidden" r:id="rId8"/>
  </sheets>
  <definedNames>
    <definedName name="_acompte_fin_VA">#REF!</definedName>
    <definedName name="_acompte_MOM">#REF!</definedName>
    <definedName name="_anomalie_bloquante">#REF!</definedName>
    <definedName name="_anomalie_majeure">#REF!</definedName>
    <definedName name="_anomalie_mineure">#REF!</definedName>
    <definedName name="_Backlog">#REF!</definedName>
    <definedName name="_Base_cacul">#REF!</definedName>
    <definedName name="_bonus_global_taux_qualité">#REF!</definedName>
    <definedName name="_bonus_MOM">#REF!</definedName>
    <definedName name="_capacité_nominale_PA_Squad">#REF!</definedName>
    <definedName name="_cle_fin_VA">#REF!</definedName>
    <definedName name="_cle_fin_VSR">#REF!</definedName>
    <definedName name="_cle_MOM">#REF!</definedName>
    <definedName name="_Cycles">#REF!</definedName>
    <definedName name="_xlnm._FilterDatabase" localSheetId="2" hidden="1">'Suivi du Périmètre'!$A$4:$I$44</definedName>
    <definedName name="_item">#REF!</definedName>
    <definedName name="_ko_bloquant_fin_VA">#REF!</definedName>
    <definedName name="_ko_bloquant_fin_VSR">#REF!</definedName>
    <definedName name="_ko_majeur_fin_VA">#REF!</definedName>
    <definedName name="_ko_majeur_fin_VSR">#REF!</definedName>
    <definedName name="_ko_mineur_fin_VA">#REF!</definedName>
    <definedName name="_ko_mineur_fin_VSR">#REF!</definedName>
    <definedName name="_nb_max_ano_bloquantes">#REF!</definedName>
    <definedName name="_nb_max_ano_majeures">#REF!</definedName>
    <definedName name="_nb_max_ano_mineures">#REF!</definedName>
    <definedName name="_nb_semaines_par_sprint">#REF!</definedName>
    <definedName name="_nb_sprints">#REF!</definedName>
    <definedName name="_non_livre_MOM">#REF!</definedName>
    <definedName name="_non_livre_MOM_livre_VA">#REF!</definedName>
    <definedName name="_PAFI_livrés_MOM">#REF!</definedName>
    <definedName name="_PAJMP">'Type de projet et squad'!#REF!</definedName>
    <definedName name="_PAJTS">'Type de projet et squad'!#REF!</definedName>
    <definedName name="_PARI_Bonus_Backlog">#REF!</definedName>
    <definedName name="_PARI_finaux">#REF!</definedName>
    <definedName name="_plancher_taux_qualité">#REF!</definedName>
    <definedName name="_planif_avant_debut_increment">#REF!</definedName>
    <definedName name="_planif_avant_dernier_sprint">#REF!</definedName>
    <definedName name="_planification">#REF!</definedName>
    <definedName name="_poucent_sanction_globale_Backlog">#REF!</definedName>
    <definedName name="_recuction_PA_item_non_livre_MOM_livr_VA">#REF!</definedName>
    <definedName name="_sanction_globale_Backlog">#REF!</definedName>
    <definedName name="_sanctions_par_item_fin_VSR">#REF!</definedName>
    <definedName name="_seuil_bonus_global_taux_qualité">#REF!</definedName>
    <definedName name="_solde_fin_VSR">#REF!</definedName>
    <definedName name="_somme_PA_fin_VA">#REF!</definedName>
    <definedName name="_somme_PA_fin_VSR">#REF!</definedName>
    <definedName name="_somme_PA_item_non_livre_MOM">#REF!</definedName>
    <definedName name="_somme_PA_item_non_livre_MOM_livre_VA">#REF!</definedName>
    <definedName name="_taille_squad">'Type de projet et squad'!#REF!</definedName>
    <definedName name="_Taux_qualité_fin_VSR_apres_bonus">#REF!</definedName>
    <definedName name="_Taux_qualité_final">#REF!</definedName>
    <definedName name="_Type_anomalie">#REF!</definedName>
    <definedName name="_volume_PAFI_planif_en_cours_incrément">#REF!</definedName>
    <definedName name="Don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2" i="15" l="1"/>
  <c r="C4" i="1" l="1"/>
  <c r="B3" i="1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E8" i="5"/>
  <c r="E9" i="5"/>
  <c r="E10" i="5"/>
  <c r="E11" i="5"/>
  <c r="E12" i="5"/>
  <c r="E13" i="5"/>
  <c r="E14" i="5"/>
  <c r="E15" i="5"/>
  <c r="D16" i="5"/>
  <c r="F30" i="15"/>
  <c r="F22" i="15"/>
  <c r="F11" i="15"/>
  <c r="C17" i="16"/>
  <c r="C21" i="16"/>
  <c r="I10" i="1"/>
  <c r="I11" i="1"/>
  <c r="I7" i="1"/>
  <c r="I8" i="1"/>
  <c r="I5" i="1"/>
  <c r="I6" i="1"/>
  <c r="I9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H4" i="1"/>
  <c r="B15" i="15" s="1"/>
  <c r="E4" i="1"/>
  <c r="B4" i="1"/>
  <c r="B2" i="15" s="1"/>
  <c r="C5" i="4"/>
  <c r="M10" i="4"/>
  <c r="M11" i="4"/>
  <c r="M12" i="4"/>
  <c r="M13" i="4"/>
  <c r="M14" i="4"/>
  <c r="M15" i="4"/>
  <c r="M16" i="4"/>
  <c r="M17" i="4"/>
  <c r="M18" i="4"/>
  <c r="M19" i="4"/>
  <c r="M20" i="4"/>
  <c r="M9" i="4"/>
  <c r="K10" i="4"/>
  <c r="K11" i="4"/>
  <c r="K12" i="4"/>
  <c r="K13" i="4"/>
  <c r="K14" i="4"/>
  <c r="K15" i="4"/>
  <c r="K16" i="4"/>
  <c r="K17" i="4"/>
  <c r="K18" i="4"/>
  <c r="K19" i="4"/>
  <c r="K20" i="4"/>
  <c r="K9" i="4"/>
  <c r="I14" i="4"/>
  <c r="I15" i="4"/>
  <c r="I16" i="4"/>
  <c r="I17" i="4"/>
  <c r="I18" i="4"/>
  <c r="I19" i="4"/>
  <c r="I20" i="4"/>
  <c r="I9" i="4"/>
  <c r="I10" i="4"/>
  <c r="I11" i="4"/>
  <c r="I12" i="4"/>
  <c r="I13" i="4"/>
  <c r="C6" i="4"/>
  <c r="H4" i="4"/>
  <c r="G20" i="4"/>
  <c r="G19" i="4"/>
  <c r="G18" i="4"/>
  <c r="G17" i="4"/>
  <c r="G16" i="4"/>
  <c r="G15" i="4"/>
  <c r="G14" i="4"/>
  <c r="G13" i="4"/>
  <c r="G12" i="4"/>
  <c r="G11" i="4"/>
  <c r="G10" i="4"/>
  <c r="G9" i="4"/>
  <c r="B6" i="3"/>
  <c r="D13" i="4"/>
  <c r="D17" i="4"/>
  <c r="D9" i="4"/>
  <c r="D10" i="4"/>
  <c r="D14" i="4"/>
  <c r="D18" i="4"/>
  <c r="D11" i="4"/>
  <c r="D15" i="4"/>
  <c r="D19" i="4"/>
  <c r="D12" i="4"/>
  <c r="D16" i="4"/>
  <c r="D20" i="4"/>
  <c r="N10" i="4"/>
  <c r="N14" i="4"/>
  <c r="N18" i="4"/>
  <c r="N12" i="4"/>
  <c r="N16" i="4"/>
  <c r="N20" i="4"/>
  <c r="N11" i="4"/>
  <c r="N19" i="4"/>
  <c r="N15" i="4"/>
  <c r="N9" i="4"/>
  <c r="N13" i="4"/>
  <c r="N17" i="4"/>
  <c r="O10" i="4"/>
  <c r="C5" i="3"/>
  <c r="C8" i="3" s="1"/>
  <c r="O9" i="4"/>
  <c r="O12" i="4"/>
  <c r="O18" i="4"/>
  <c r="O17" i="4"/>
  <c r="O13" i="4"/>
  <c r="O20" i="4"/>
  <c r="O15" i="4"/>
  <c r="O14" i="4"/>
  <c r="O16" i="4"/>
  <c r="O19" i="4"/>
  <c r="O11" i="4"/>
  <c r="H5" i="4"/>
  <c r="C6" i="3"/>
  <c r="B5" i="3"/>
  <c r="B8" i="3" s="1"/>
  <c r="E16" i="5" l="1"/>
  <c r="E17" i="5" s="1"/>
  <c r="C18" i="16"/>
  <c r="C19" i="16" s="1"/>
  <c r="B21" i="15" s="1"/>
  <c r="C13" i="16"/>
  <c r="C15" i="16" s="1"/>
  <c r="B18" i="15" s="1"/>
  <c r="C22" i="16"/>
  <c r="C14" i="16"/>
  <c r="F4" i="1"/>
  <c r="B9" i="15" s="1"/>
  <c r="I4" i="1"/>
  <c r="B16" i="15" s="1"/>
  <c r="B7" i="15"/>
  <c r="C23" i="16"/>
  <c r="B26" i="15" s="1"/>
  <c r="B10" i="3"/>
  <c r="G11" i="15" l="1"/>
  <c r="H11" i="15" s="1"/>
  <c r="B10" i="15"/>
  <c r="B29" i="15" s="1"/>
  <c r="B8" i="15"/>
  <c r="B11" i="15" l="1"/>
  <c r="B19" i="15" s="1"/>
  <c r="B22" i="15" s="1"/>
  <c r="H22" i="15" s="1"/>
  <c r="B27" i="15" l="1"/>
  <c r="B30" i="15" s="1"/>
  <c r="G30" i="15" s="1"/>
  <c r="H30" i="15" s="1"/>
</calcChain>
</file>

<file path=xl/sharedStrings.xml><?xml version="1.0" encoding="utf-8"?>
<sst xmlns="http://schemas.openxmlformats.org/spreadsheetml/2006/main" count="273" uniqueCount="167">
  <si>
    <t xml:space="preserve">N° </t>
  </si>
  <si>
    <t>Oui</t>
  </si>
  <si>
    <t>Non</t>
  </si>
  <si>
    <t>Ok</t>
  </si>
  <si>
    <t>Ko</t>
  </si>
  <si>
    <t>Description de l'évolution</t>
  </si>
  <si>
    <t>1_Correction</t>
  </si>
  <si>
    <t>Correction 5</t>
  </si>
  <si>
    <t xml:space="preserve"> Sanction en %</t>
  </si>
  <si>
    <t>Correction 1</t>
  </si>
  <si>
    <t>Correction 2</t>
  </si>
  <si>
    <t>Correction 3</t>
  </si>
  <si>
    <t>Correction 4</t>
  </si>
  <si>
    <t>Correction 6</t>
  </si>
  <si>
    <t>Correction 7</t>
  </si>
  <si>
    <t>Correction 8</t>
  </si>
  <si>
    <t>Correction 9</t>
  </si>
  <si>
    <t>Correction 10</t>
  </si>
  <si>
    <t>Correction 11</t>
  </si>
  <si>
    <t>Correction 12</t>
  </si>
  <si>
    <t xml:space="preserve"> PER 
(Nb Points Effectifs Réalisés)</t>
  </si>
  <si>
    <r>
      <rPr>
        <b/>
        <sz val="8"/>
        <color indexed="8"/>
        <rFont val="Arial"/>
        <family val="2"/>
      </rPr>
      <t>PAF</t>
    </r>
    <r>
      <rPr>
        <sz val="8"/>
        <color indexed="8"/>
        <rFont val="Arial"/>
        <family val="2"/>
      </rPr>
      <t xml:space="preserve">
(Nb Points d'Abon-nement Fixés)</t>
    </r>
  </si>
  <si>
    <r>
      <rPr>
        <sz val="8"/>
        <color indexed="8"/>
        <rFont val="Wingdings 2"/>
        <family val="1"/>
        <charset val="2"/>
      </rPr>
      <t xml:space="preserve">u </t>
    </r>
    <r>
      <rPr>
        <sz val="8"/>
        <color indexed="8"/>
        <rFont val="Arial"/>
        <family val="2"/>
      </rPr>
      <t>Fourniture de la demande lors de la MOM</t>
    </r>
  </si>
  <si>
    <t>Si Non : -100% PAF</t>
  </si>
  <si>
    <r>
      <rPr>
        <sz val="8"/>
        <color indexed="8"/>
        <rFont val="Wingdings"/>
        <charset val="2"/>
      </rPr>
      <t></t>
    </r>
    <r>
      <rPr>
        <sz val="8"/>
        <color indexed="8"/>
        <rFont val="Arial"/>
        <family val="2"/>
      </rPr>
      <t xml:space="preserve"> Demande fournie à l’issue des vérifications</t>
    </r>
    <r>
      <rPr>
        <sz val="8"/>
        <color rgb="FFFF0000"/>
        <rFont val="Wingdings 2"/>
        <family val="1"/>
        <charset val="2"/>
      </rPr>
      <t/>
    </r>
  </si>
  <si>
    <r>
      <rPr>
        <sz val="8"/>
        <color indexed="8"/>
        <rFont val="Wingdings 2"/>
        <family val="1"/>
        <charset val="2"/>
      </rPr>
      <t>w</t>
    </r>
    <r>
      <rPr>
        <sz val="8"/>
        <color indexed="8"/>
        <rFont val="Arial"/>
        <family val="2"/>
      </rPr>
      <t xml:space="preserve"> Statut demande suites aux vérifications</t>
    </r>
  </si>
  <si>
    <r>
      <t xml:space="preserve"> </t>
    </r>
    <r>
      <rPr>
        <sz val="8"/>
        <color indexed="8"/>
        <rFont val="Wingdings 2"/>
        <family val="1"/>
        <charset val="2"/>
      </rPr>
      <t>x</t>
    </r>
    <r>
      <rPr>
        <sz val="8"/>
        <color indexed="8"/>
        <rFont val="Arial"/>
        <family val="2"/>
      </rPr>
      <t xml:space="preserve"> Nombre d'ajournement</t>
    </r>
  </si>
  <si>
    <t>Total points du cycle</t>
  </si>
  <si>
    <t>Taux de Qualité du cycle</t>
  </si>
  <si>
    <t>Bloquante</t>
  </si>
  <si>
    <t>Nb PA mensuel</t>
  </si>
  <si>
    <t>Durée du cycle (jours)</t>
  </si>
  <si>
    <t>Majeure</t>
  </si>
  <si>
    <t>Mineure</t>
  </si>
  <si>
    <t>Si Oui : 
Bloquante :+90% PAF
Majeure     :+75% PAF
Mineure     :+30% PAF</t>
  </si>
  <si>
    <t>Si Ko: 
Bloquante :+50% PAF
Majeure     :+25% PAF
Mineure     :+10% PAF</t>
  </si>
  <si>
    <t>Par ajournement: 
Bloquante :+50% PAF
Majeure     :+25% PAF
Mineure     :+10% PAF</t>
  </si>
  <si>
    <t>Type de demandes</t>
  </si>
  <si>
    <t>Demandes de correction</t>
  </si>
  <si>
    <t>Demandes d'évolution</t>
  </si>
  <si>
    <t>Nombre de corrections</t>
  </si>
  <si>
    <t>Nb PAF du cycle</t>
  </si>
  <si>
    <t>Nb PER du cycle</t>
  </si>
  <si>
    <r>
      <t xml:space="preserve"> </t>
    </r>
    <r>
      <rPr>
        <b/>
        <sz val="8"/>
        <color indexed="8"/>
        <rFont val="Arial"/>
        <family val="2"/>
      </rPr>
      <t>PER</t>
    </r>
    <r>
      <rPr>
        <sz val="8"/>
        <color indexed="8"/>
        <rFont val="Arial"/>
        <family val="2"/>
      </rPr>
      <t xml:space="preserve"> 
(Nb Points Effectifs Réalisés)</t>
    </r>
  </si>
  <si>
    <t xml:space="preserve"> Taux de qualité du cycle de MCO</t>
  </si>
  <si>
    <t>Ajustement du PER des demandes de correction du cycle (CCTP §35.1.2)</t>
  </si>
  <si>
    <t>Item</t>
  </si>
  <si>
    <t>Sanction / Bonus</t>
  </si>
  <si>
    <t>en %</t>
  </si>
  <si>
    <t>Base</t>
  </si>
  <si>
    <t>Profils</t>
  </si>
  <si>
    <t>Niveau de qualification dans le poste</t>
  </si>
  <si>
    <t>PA journalier</t>
  </si>
  <si>
    <t>Expert</t>
  </si>
  <si>
    <t>Confirmé</t>
  </si>
  <si>
    <t>Débutant</t>
  </si>
  <si>
    <t>Ergonome</t>
  </si>
  <si>
    <t>Scrum Master</t>
  </si>
  <si>
    <t>Architecte technique</t>
  </si>
  <si>
    <t>Concepteur - développeur</t>
  </si>
  <si>
    <t>Testeur</t>
  </si>
  <si>
    <t>Assistant fonctionnel</t>
  </si>
  <si>
    <t>Quantité profil</t>
  </si>
  <si>
    <t>PA journalier par type de profil</t>
  </si>
  <si>
    <t>Nb d'items non livrés lors de la MOM</t>
  </si>
  <si>
    <t>Acompte</t>
  </si>
  <si>
    <t>MOM</t>
  </si>
  <si>
    <t>Fin de VA</t>
  </si>
  <si>
    <t>Fin VSR</t>
  </si>
  <si>
    <t>Nb d'items non livrés MOM et livrés lors de la VA</t>
  </si>
  <si>
    <t>Suivi du périmètre du projet ou de l'incrément</t>
  </si>
  <si>
    <t>A</t>
  </si>
  <si>
    <t>B</t>
  </si>
  <si>
    <t>C</t>
  </si>
  <si>
    <t>D</t>
  </si>
  <si>
    <t>PA</t>
  </si>
  <si>
    <t>Nb PA livrés en MOM</t>
  </si>
  <si>
    <t>Nb Points d'Abonnement Fixés</t>
  </si>
  <si>
    <t>Synthèse</t>
  </si>
  <si>
    <t>Calcul de la qualité logiciel</t>
  </si>
  <si>
    <t>Gestion financière</t>
  </si>
  <si>
    <t>Nombre de PA du périmètre (PAF ou PAFI)</t>
  </si>
  <si>
    <t>Items</t>
  </si>
  <si>
    <t>Nombre d'items du périmètre</t>
  </si>
  <si>
    <t>PAF(I) des items livrés à la MOM</t>
  </si>
  <si>
    <t>PAR(I) fin de VA</t>
  </si>
  <si>
    <t>PAR(I) fin de VSR</t>
  </si>
  <si>
    <t>Seuil</t>
  </si>
  <si>
    <r>
      <t xml:space="preserve"> 90% PAFI </t>
    </r>
    <r>
      <rPr>
        <sz val="8"/>
        <color theme="1"/>
        <rFont val="Symbol"/>
        <family val="1"/>
        <charset val="2"/>
      </rPr>
      <t>³</t>
    </r>
    <r>
      <rPr>
        <sz val="8"/>
        <color theme="1"/>
        <rFont val="Arial"/>
        <family val="2"/>
      </rPr>
      <t xml:space="preserve"> PARI</t>
    </r>
    <r>
      <rPr>
        <vertAlign val="subscript"/>
        <sz val="8"/>
        <color theme="1"/>
        <rFont val="Arial"/>
        <family val="2"/>
      </rPr>
      <t>MOM</t>
    </r>
    <r>
      <rPr>
        <sz val="8"/>
        <color theme="1"/>
        <rFont val="Arial"/>
        <family val="2"/>
      </rPr>
      <t xml:space="preserve"> &gt; 80% PAFI</t>
    </r>
  </si>
  <si>
    <r>
      <t xml:space="preserve"> 80% PAFI </t>
    </r>
    <r>
      <rPr>
        <sz val="8"/>
        <color theme="1"/>
        <rFont val="Symbol"/>
        <family val="1"/>
        <charset val="2"/>
      </rPr>
      <t>³</t>
    </r>
    <r>
      <rPr>
        <sz val="8"/>
        <color theme="1"/>
        <rFont val="Arial"/>
        <family val="2"/>
      </rPr>
      <t xml:space="preserve"> PARI</t>
    </r>
    <r>
      <rPr>
        <vertAlign val="subscript"/>
        <sz val="8"/>
        <color theme="1"/>
        <rFont val="Arial"/>
        <family val="2"/>
      </rPr>
      <t>MOM</t>
    </r>
    <r>
      <rPr>
        <sz val="8"/>
        <color theme="1"/>
        <rFont val="Arial"/>
        <family val="2"/>
      </rPr>
      <t xml:space="preserve"> &gt; 70% PAFI</t>
    </r>
  </si>
  <si>
    <r>
      <t xml:space="preserve"> 70% PAFI </t>
    </r>
    <r>
      <rPr>
        <sz val="8"/>
        <color theme="1"/>
        <rFont val="Symbol"/>
        <family val="1"/>
        <charset val="2"/>
      </rPr>
      <t>³</t>
    </r>
    <r>
      <rPr>
        <sz val="8"/>
        <color theme="1"/>
        <rFont val="Arial"/>
        <family val="2"/>
      </rPr>
      <t xml:space="preserve"> PARI</t>
    </r>
    <r>
      <rPr>
        <vertAlign val="subscript"/>
        <sz val="8"/>
        <color theme="1"/>
        <rFont val="Arial"/>
        <family val="2"/>
      </rPr>
      <t>MOM</t>
    </r>
  </si>
  <si>
    <t>Calcul du malus MOM</t>
  </si>
  <si>
    <t>%</t>
  </si>
  <si>
    <t>Malus</t>
  </si>
  <si>
    <t>PAR(I)- mom</t>
  </si>
  <si>
    <t>VA</t>
  </si>
  <si>
    <t>Item non livré MOM et livré lors de la VA</t>
  </si>
  <si>
    <t>Item livré à la MOM</t>
  </si>
  <si>
    <t>Item non livré MOM et livré  à l’issue de la VA</t>
  </si>
  <si>
    <t>Base (formule)</t>
  </si>
  <si>
    <r>
      <t>PARI</t>
    </r>
    <r>
      <rPr>
        <vertAlign val="subscript"/>
        <sz val="8"/>
        <color theme="1"/>
        <rFont val="Arial"/>
        <family val="2"/>
      </rPr>
      <t>MOM</t>
    </r>
    <r>
      <rPr>
        <sz val="8"/>
        <color theme="1"/>
        <rFont val="Arial"/>
        <family val="2"/>
      </rPr>
      <t xml:space="preserve"> &gt; 90% PAFI</t>
    </r>
  </si>
  <si>
    <t>Nb PA non livré MOM et livré lors de la VA</t>
  </si>
  <si>
    <t>Calcul de l'ajustement sur les items livrés en VA</t>
  </si>
  <si>
    <t>Anomalies détectées en VA</t>
  </si>
  <si>
    <t>Suivi des anomalies du projet ou de l'incrément</t>
  </si>
  <si>
    <t>Anomalies résiduelles en fin de VA</t>
  </si>
  <si>
    <t>Anomalies Résiduelles en fin de VSR</t>
  </si>
  <si>
    <t xml:space="preserve">Nombre de PA journalier moyen par profil (JMPS) : </t>
  </si>
  <si>
    <t>Totaux :</t>
  </si>
  <si>
    <t>Type de projet</t>
  </si>
  <si>
    <t>Projet agile ?</t>
  </si>
  <si>
    <t xml:space="preserve">Nb Anomalies bloquantes :
Agile =&gt; 2 x PAFI / 100 x JMPS 
Cycle en V =&gt;   2 x CG /100
</t>
  </si>
  <si>
    <t>Calcul des seuils et malus par étape</t>
  </si>
  <si>
    <t>c</t>
  </si>
  <si>
    <t>anomalies résiduelles en fin de VA</t>
  </si>
  <si>
    <t xml:space="preserve">0 anomalie bloquante </t>
  </si>
  <si>
    <t xml:space="preserve">Nb Anomalies majeures :
Agile =&gt; 3 x PAFI / 100 x JMPS
ycle en V =&gt; 3 x CG / 100
</t>
  </si>
  <si>
    <t xml:space="preserve">Nb Anomalies majeures :
Agile =&gt; PAFI / 300 x JMPS
ycle en V =&gt; CG / 300
</t>
  </si>
  <si>
    <t>anomalies résiduelles en fin de VSR</t>
  </si>
  <si>
    <t xml:space="preserve">Nb Anomalies majeures :
Agile =&gt; PAFI / 500 x JMPS
ycle en V =&gt; CG / 500
</t>
  </si>
  <si>
    <t>Malus sur anomalies détecté en VA</t>
  </si>
  <si>
    <t>PAR(I)- en cours VA</t>
  </si>
  <si>
    <t>Malus sur anomalies résiduelles en fin de VA</t>
  </si>
  <si>
    <t>PAR(I)- fin VA</t>
  </si>
  <si>
    <t>VSR</t>
  </si>
  <si>
    <t>Anomalies résiduelles en fin de VSR</t>
  </si>
  <si>
    <t>Malus sur anomalies résiduelles en fin de VSR</t>
  </si>
  <si>
    <t>Montant bonus global</t>
  </si>
  <si>
    <t xml:space="preserve">Pas de Malus à toutes les étapes </t>
  </si>
  <si>
    <t>Calcul du Bonus</t>
  </si>
  <si>
    <t>PAR(I)- fin VSR</t>
  </si>
  <si>
    <t>PAR(I)</t>
  </si>
  <si>
    <t>Bonus sur qualité logicielle</t>
  </si>
  <si>
    <t>Nb PA</t>
  </si>
  <si>
    <t>d</t>
  </si>
  <si>
    <r>
      <rPr>
        <b/>
        <sz val="11"/>
        <rFont val="Calibri"/>
        <family val="2"/>
        <scheme val="minor"/>
      </rPr>
      <t>Solde en fin de VSR</t>
    </r>
    <r>
      <rPr>
        <sz val="11"/>
        <color theme="0"/>
        <rFont val="Calibri"/>
        <family val="2"/>
        <scheme val="minor"/>
      </rPr>
      <t xml:space="preserve">  : % du PAR(I) - les 2 accomptes</t>
    </r>
  </si>
  <si>
    <r>
      <rPr>
        <b/>
        <sz val="11"/>
        <rFont val="Calibri"/>
        <family val="2"/>
        <scheme val="minor"/>
      </rPr>
      <t xml:space="preserve">Acompte en fin de MOM </t>
    </r>
    <r>
      <rPr>
        <sz val="11"/>
        <color theme="0"/>
        <rFont val="Calibri"/>
        <family val="2"/>
        <scheme val="minor"/>
      </rPr>
      <t xml:space="preserve"> : % sur PAF(I) livrés en MOM</t>
    </r>
  </si>
  <si>
    <t xml:space="preserve">Charge globale de réalisation du projet (CG) : </t>
  </si>
  <si>
    <t>Sur les onglets "Type de projet et squad", "suivi du périmètre" et "suivi des anomalies", ne modifier que les cases BLANCHES</t>
  </si>
  <si>
    <t>IMPORTANT</t>
  </si>
  <si>
    <t>Onglet "Type de projet et Squad"</t>
  </si>
  <si>
    <t>Saisir le type de projet =&gt; Oui si agile (cela va permettre de gérer le calcul du seuil des anomalies qui est différent en Agile et en cycle en V)</t>
  </si>
  <si>
    <t>Si cycle en V : saisir la charge globale de réalisation (CG)</t>
  </si>
  <si>
    <t>Onglet "Suivi du périmètre"</t>
  </si>
  <si>
    <t>Enfin, pendant la VA, indiquer pour les items non livrés en MOM, si une livraison est faite en VA</t>
  </si>
  <si>
    <t>Onglet "suivi des anomalies"</t>
  </si>
  <si>
    <t>Onglet " Synthèse"</t>
  </si>
  <si>
    <t>Cet onglet est complètement automatique, il permet :</t>
  </si>
  <si>
    <t>- de suivre le calcul du PARI (avec les calculs intermédiaires)</t>
  </si>
  <si>
    <t>Pour la VA, saisir le nombre d'anomalies bloquantes et majeures détectées, et le nombre d'anomalies bloquantes et majeures résiduelles</t>
  </si>
  <si>
    <t>Pour la VSR, saisir le nombre d'anomalies bloquantes et majeures résiduelles</t>
  </si>
  <si>
    <t>Fin du tableau... Ajouter des lignes avant la dernière ligne du tableau et copier les formules</t>
  </si>
  <si>
    <t>Nb items livrés en MOM</t>
  </si>
  <si>
    <t>Feature 68</t>
  </si>
  <si>
    <t>Ensuite, au moment de la MOM, indiqué si l'item est livré ou pas</t>
  </si>
  <si>
    <t>nn</t>
  </si>
  <si>
    <r>
      <t xml:space="preserve">Composition de l'équipe de développement </t>
    </r>
    <r>
      <rPr>
        <i/>
        <sz val="14"/>
        <color theme="0"/>
        <rFont val="Arial"/>
        <family val="2"/>
      </rPr>
      <t>(Uniquement pour Projet Agile)</t>
    </r>
  </si>
  <si>
    <r>
      <t xml:space="preserve">Charge globale de réalisation en J/h </t>
    </r>
    <r>
      <rPr>
        <i/>
        <sz val="14"/>
        <color theme="0"/>
        <rFont val="Arial"/>
        <family val="2"/>
      </rPr>
      <t>(Uniquement pour Projet cycle en V)</t>
    </r>
  </si>
  <si>
    <t>Si Agile : Saisir la composition l'équipe de développement pour en déduire le nombre de PA moyen journalier (JMPS)</t>
  </si>
  <si>
    <t>Nombre de PA des items livrés lors de la MOM</t>
  </si>
  <si>
    <t>Nombre de PA des items non livrés lors de la MOM</t>
  </si>
  <si>
    <t>% théorique</t>
  </si>
  <si>
    <t>% réel sur PAF(i) initial</t>
  </si>
  <si>
    <t>- de définir le Nombre de PA et le % de l'échéance vis-à-vis du PAF(i) initial, à prendre ne compte pour régulariser les accomptes et le solde financier du projet ou l'incrément</t>
  </si>
  <si>
    <r>
      <t xml:space="preserve">Ne pas modifier les formules des onglets "Synthèse" et "Paramètres" - </t>
    </r>
    <r>
      <rPr>
        <b/>
        <i/>
        <sz val="11"/>
        <color rgb="FFFF0000"/>
        <rFont val="Calibri"/>
        <family val="2"/>
        <scheme val="minor"/>
      </rPr>
      <t>les 2 onglets sont vérouillées =&gt; mot de passe "QMO7544"</t>
    </r>
  </si>
  <si>
    <r>
      <rPr>
        <b/>
        <sz val="11"/>
        <rFont val="Calibri"/>
        <family val="2"/>
        <scheme val="minor"/>
      </rPr>
      <t>Acompte en fin de VA</t>
    </r>
    <r>
      <rPr>
        <sz val="11"/>
        <color theme="0"/>
        <rFont val="Calibri"/>
        <family val="2"/>
        <scheme val="minor"/>
      </rPr>
      <t xml:space="preserve">  : % sur PA(I)-fin VA</t>
    </r>
  </si>
  <si>
    <t>Saisir au debut du projet ou de l'incrément, la liste des items (niveau Feauture ou US) à produire et leur valorisation en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</si>
</sst>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rgb="FFFF0000"/>
      <name val="Wingdings 2"/>
      <family val="1"/>
      <charset val="2"/>
    </font>
    <font>
      <i/>
      <sz val="8"/>
      <color rgb="FFFF0000"/>
      <name val="Arial"/>
      <family val="2"/>
    </font>
    <font>
      <sz val="12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Wingdings"/>
      <charset val="2"/>
    </font>
    <font>
      <sz val="8"/>
      <color indexed="8"/>
      <name val="Wingdings 2"/>
      <family val="1"/>
      <charset val="2"/>
    </font>
    <font>
      <i/>
      <sz val="8"/>
      <color rgb="FF0070C0"/>
      <name val="Arial"/>
      <family val="2"/>
    </font>
    <font>
      <sz val="8"/>
      <color theme="0"/>
      <name val="Arial"/>
      <family val="2"/>
    </font>
    <font>
      <sz val="14"/>
      <color theme="0"/>
      <name val="Arial"/>
      <family val="2"/>
    </font>
    <font>
      <b/>
      <sz val="14"/>
      <color theme="0"/>
      <name val="Arial"/>
      <family val="2"/>
    </font>
    <font>
      <b/>
      <sz val="14"/>
      <color indexed="8"/>
      <name val="Times New Roman"/>
      <family val="1"/>
    </font>
    <font>
      <sz val="8"/>
      <name val="Arial Black"/>
      <family val="2"/>
    </font>
    <font>
      <sz val="11"/>
      <color indexed="8"/>
      <name val="Times New Roman"/>
      <family val="1"/>
    </font>
    <font>
      <sz val="8"/>
      <color theme="0"/>
      <name val="Arial"/>
      <family val="2"/>
      <charset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8"/>
      <color indexed="8"/>
      <name val="Arial"/>
      <family val="1"/>
      <charset val="2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vertAlign val="subscript"/>
      <sz val="8"/>
      <color theme="1"/>
      <name val="Arial"/>
      <family val="2"/>
    </font>
    <font>
      <sz val="8"/>
      <color theme="1"/>
      <name val="Symbol"/>
      <family val="1"/>
      <charset val="2"/>
    </font>
    <font>
      <sz val="8"/>
      <name val="Arial"/>
      <family val="2"/>
    </font>
    <font>
      <i/>
      <sz val="14"/>
      <color theme="0"/>
      <name val="Arial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66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4" fillId="3" borderId="0" xfId="0" applyFont="1" applyFill="1"/>
    <xf numFmtId="164" fontId="4" fillId="3" borderId="0" xfId="1" applyNumberFormat="1" applyFont="1" applyFill="1"/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1" applyNumberFormat="1" applyFont="1" applyBorder="1"/>
    <xf numFmtId="0" fontId="2" fillId="2" borderId="1" xfId="0" quotePrefix="1" applyFont="1" applyFill="1" applyBorder="1" applyAlignment="1">
      <alignment horizontal="center" vertical="center" wrapText="1"/>
    </xf>
    <xf numFmtId="0" fontId="3" fillId="0" borderId="1" xfId="0" applyFont="1" applyBorder="1"/>
    <xf numFmtId="9" fontId="3" fillId="0" borderId="1" xfId="1" applyFont="1" applyBorder="1"/>
    <xf numFmtId="9" fontId="3" fillId="0" borderId="1" xfId="1" applyNumberFormat="1" applyFont="1" applyBorder="1"/>
    <xf numFmtId="0" fontId="3" fillId="8" borderId="1" xfId="0" applyFont="1" applyFill="1" applyBorder="1"/>
    <xf numFmtId="0" fontId="3" fillId="9" borderId="1" xfId="0" applyFont="1" applyFill="1" applyBorder="1"/>
    <xf numFmtId="0" fontId="3" fillId="0" borderId="7" xfId="0" applyFont="1" applyFill="1" applyBorder="1"/>
    <xf numFmtId="0" fontId="12" fillId="7" borderId="1" xfId="0" applyFont="1" applyFill="1" applyBorder="1"/>
    <xf numFmtId="0" fontId="12" fillId="6" borderId="1" xfId="0" applyFont="1" applyFill="1" applyBorder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6" fillId="11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17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0" fillId="0" borderId="0" xfId="0" applyFill="1"/>
    <xf numFmtId="0" fontId="2" fillId="15" borderId="1" xfId="0" applyFont="1" applyFill="1" applyBorder="1" applyAlignment="1">
      <alignment horizontal="left" vertical="center" wrapText="1"/>
    </xf>
    <xf numFmtId="0" fontId="24" fillId="0" borderId="0" xfId="0" applyFont="1"/>
    <xf numFmtId="0" fontId="27" fillId="0" borderId="0" xfId="0" applyFont="1"/>
    <xf numFmtId="0" fontId="0" fillId="20" borderId="0" xfId="0" applyFill="1"/>
    <xf numFmtId="0" fontId="3" fillId="17" borderId="0" xfId="0" applyFont="1" applyFill="1"/>
    <xf numFmtId="0" fontId="2" fillId="17" borderId="1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17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3" fillId="22" borderId="1" xfId="0" applyFont="1" applyFill="1" applyBorder="1" applyAlignment="1">
      <alignment horizontal="center"/>
    </xf>
    <xf numFmtId="0" fontId="28" fillId="22" borderId="1" xfId="0" applyFont="1" applyFill="1" applyBorder="1" applyAlignment="1">
      <alignment horizontal="center"/>
    </xf>
    <xf numFmtId="0" fontId="29" fillId="22" borderId="1" xfId="0" quotePrefix="1" applyFont="1" applyFill="1" applyBorder="1" applyAlignment="1">
      <alignment horizontal="center" vertical="center" wrapText="1"/>
    </xf>
    <xf numFmtId="0" fontId="8" fillId="22" borderId="1" xfId="0" applyFont="1" applyFill="1" applyBorder="1" applyAlignment="1">
      <alignment horizontal="center" vertical="center" wrapText="1"/>
    </xf>
    <xf numFmtId="0" fontId="0" fillId="23" borderId="0" xfId="0" applyFill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13" borderId="1" xfId="0" quotePrefix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left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1" fillId="15" borderId="1" xfId="0" applyFont="1" applyFill="1" applyBorder="1" applyAlignment="1">
      <alignment horizontal="left" vertical="center" wrapText="1"/>
    </xf>
    <xf numFmtId="9" fontId="12" fillId="1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13" borderId="1" xfId="0" applyFont="1" applyFill="1" applyBorder="1" applyAlignment="1">
      <alignment horizontal="left" vertical="center" wrapText="1"/>
    </xf>
    <xf numFmtId="0" fontId="0" fillId="24" borderId="0" xfId="0" applyFill="1"/>
    <xf numFmtId="0" fontId="0" fillId="8" borderId="1" xfId="0" applyFill="1" applyBorder="1"/>
    <xf numFmtId="0" fontId="0" fillId="5" borderId="1" xfId="0" applyFill="1" applyBorder="1"/>
    <xf numFmtId="0" fontId="0" fillId="24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24" borderId="1" xfId="0" applyFill="1" applyBorder="1"/>
    <xf numFmtId="0" fontId="0" fillId="0" borderId="0" xfId="0" quotePrefix="1"/>
    <xf numFmtId="0" fontId="0" fillId="20" borderId="1" xfId="0" applyFill="1" applyBorder="1"/>
    <xf numFmtId="1" fontId="0" fillId="22" borderId="1" xfId="0" quotePrefix="1" applyNumberFormat="1" applyFill="1" applyBorder="1" applyAlignment="1">
      <alignment horizontal="center"/>
    </xf>
    <xf numFmtId="1" fontId="0" fillId="22" borderId="1" xfId="0" applyNumberFormat="1" applyFill="1" applyBorder="1" applyAlignment="1">
      <alignment horizontal="center"/>
    </xf>
    <xf numFmtId="9" fontId="0" fillId="22" borderId="1" xfId="0" applyNumberFormat="1" applyFill="1" applyBorder="1" applyAlignment="1">
      <alignment horizontal="center"/>
    </xf>
    <xf numFmtId="0" fontId="3" fillId="25" borderId="1" xfId="0" applyFont="1" applyFill="1" applyBorder="1" applyAlignment="1">
      <alignment horizontal="center"/>
    </xf>
    <xf numFmtId="0" fontId="2" fillId="18" borderId="1" xfId="1" quotePrefix="1" applyNumberFormat="1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/>
    </xf>
    <xf numFmtId="0" fontId="3" fillId="18" borderId="3" xfId="0" applyFont="1" applyFill="1" applyBorder="1" applyAlignment="1">
      <alignment horizontal="center" vertical="center" wrapText="1"/>
    </xf>
    <xf numFmtId="1" fontId="4" fillId="16" borderId="1" xfId="0" applyNumberFormat="1" applyFont="1" applyFill="1" applyBorder="1" applyAlignment="1">
      <alignment horizontal="center" vertical="center" wrapText="1"/>
    </xf>
    <xf numFmtId="0" fontId="2" fillId="25" borderId="1" xfId="1" quotePrefix="1" applyNumberFormat="1" applyFont="1" applyFill="1" applyBorder="1" applyAlignment="1">
      <alignment horizontal="center" vertical="center" wrapText="1"/>
    </xf>
    <xf numFmtId="0" fontId="3" fillId="25" borderId="3" xfId="0" applyFont="1" applyFill="1" applyBorder="1" applyAlignment="1">
      <alignment horizontal="center" vertical="center" wrapText="1"/>
    </xf>
    <xf numFmtId="9" fontId="33" fillId="25" borderId="1" xfId="0" applyNumberFormat="1" applyFont="1" applyFill="1" applyBorder="1" applyAlignment="1">
      <alignment horizontal="center" vertical="center" wrapText="1"/>
    </xf>
    <xf numFmtId="9" fontId="0" fillId="25" borderId="1" xfId="0" applyNumberFormat="1" applyFill="1" applyBorder="1" applyAlignment="1">
      <alignment horizontal="center"/>
    </xf>
    <xf numFmtId="0" fontId="3" fillId="25" borderId="1" xfId="0" applyFont="1" applyFill="1" applyBorder="1" applyAlignment="1">
      <alignment vertical="center" wrapText="1"/>
    </xf>
    <xf numFmtId="0" fontId="3" fillId="18" borderId="5" xfId="0" quotePrefix="1" applyFont="1" applyFill="1" applyBorder="1" applyAlignment="1">
      <alignment horizontal="center" vertical="center" wrapText="1"/>
    </xf>
    <xf numFmtId="9" fontId="33" fillId="18" borderId="3" xfId="0" applyNumberFormat="1" applyFont="1" applyFill="1" applyBorder="1" applyAlignment="1">
      <alignment horizontal="center" vertical="center" wrapText="1"/>
    </xf>
    <xf numFmtId="9" fontId="0" fillId="18" borderId="1" xfId="0" applyNumberFormat="1" applyFill="1" applyBorder="1" applyAlignment="1">
      <alignment horizontal="center"/>
    </xf>
    <xf numFmtId="0" fontId="3" fillId="18" borderId="3" xfId="0" applyFont="1" applyFill="1" applyBorder="1" applyAlignment="1">
      <alignment vertical="center" wrapText="1"/>
    </xf>
    <xf numFmtId="9" fontId="33" fillId="18" borderId="1" xfId="0" quotePrefix="1" applyNumberFormat="1" applyFont="1" applyFill="1" applyBorder="1" applyAlignment="1">
      <alignment horizontal="center" vertical="center" wrapText="1"/>
    </xf>
    <xf numFmtId="0" fontId="33" fillId="18" borderId="1" xfId="0" quotePrefix="1" applyFont="1" applyFill="1" applyBorder="1" applyAlignment="1">
      <alignment horizontal="center" vertical="center" wrapText="1"/>
    </xf>
    <xf numFmtId="0" fontId="33" fillId="18" borderId="1" xfId="0" applyFont="1" applyFill="1" applyBorder="1" applyAlignment="1">
      <alignment horizontal="center" vertical="center"/>
    </xf>
    <xf numFmtId="9" fontId="4" fillId="12" borderId="1" xfId="0" applyNumberFormat="1" applyFont="1" applyFill="1" applyBorder="1" applyAlignment="1">
      <alignment horizontal="center" vertical="center"/>
    </xf>
    <xf numFmtId="9" fontId="33" fillId="18" borderId="1" xfId="1" quotePrefix="1" applyNumberFormat="1" applyFont="1" applyFill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25" fillId="16" borderId="0" xfId="0" applyFont="1" applyFill="1"/>
    <xf numFmtId="9" fontId="3" fillId="0" borderId="1" xfId="0" applyNumberFormat="1" applyFont="1" applyBorder="1" applyAlignment="1">
      <alignment horizontal="center"/>
    </xf>
    <xf numFmtId="9" fontId="23" fillId="16" borderId="0" xfId="0" applyNumberFormat="1" applyFont="1" applyFill="1" applyAlignment="1">
      <alignment horizontal="center"/>
    </xf>
    <xf numFmtId="1" fontId="23" fillId="16" borderId="0" xfId="0" applyNumberFormat="1" applyFont="1" applyFill="1" applyAlignment="1">
      <alignment horizontal="center"/>
    </xf>
    <xf numFmtId="1" fontId="0" fillId="0" borderId="0" xfId="0" applyNumberFormat="1"/>
    <xf numFmtId="0" fontId="29" fillId="22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37" fillId="0" borderId="0" xfId="0" applyFont="1"/>
    <xf numFmtId="0" fontId="26" fillId="0" borderId="0" xfId="0" applyFont="1" applyAlignment="1">
      <alignment horizontal="left" vertical="center"/>
    </xf>
    <xf numFmtId="165" fontId="29" fillId="22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22" borderId="1" xfId="0" applyNumberFormat="1" applyFont="1" applyFill="1" applyBorder="1" applyAlignment="1" applyProtection="1">
      <alignment horizontal="center" vertical="center" wrapText="1"/>
      <protection locked="0"/>
    </xf>
    <xf numFmtId="10" fontId="23" fillId="16" borderId="0" xfId="0" applyNumberFormat="1" applyFont="1" applyFill="1" applyAlignment="1">
      <alignment horizontal="center"/>
    </xf>
    <xf numFmtId="1" fontId="4" fillId="12" borderId="1" xfId="0" applyNumberFormat="1" applyFont="1" applyFill="1" applyBorder="1" applyAlignment="1">
      <alignment horizontal="center" vertical="center"/>
    </xf>
    <xf numFmtId="1" fontId="12" fillId="14" borderId="1" xfId="0" applyNumberFormat="1" applyFont="1" applyFill="1" applyBorder="1" applyAlignment="1">
      <alignment horizontal="center" vertical="center" wrapText="1"/>
    </xf>
    <xf numFmtId="1" fontId="4" fillId="12" borderId="1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center" vertical="center"/>
    </xf>
    <xf numFmtId="0" fontId="8" fillId="17" borderId="6" xfId="0" applyFont="1" applyFill="1" applyBorder="1" applyAlignment="1">
      <alignment horizontal="right" vertical="center" wrapText="1"/>
    </xf>
    <xf numFmtId="0" fontId="8" fillId="17" borderId="8" xfId="0" applyFont="1" applyFill="1" applyBorder="1" applyAlignment="1">
      <alignment horizontal="right" vertical="center" wrapText="1"/>
    </xf>
    <xf numFmtId="0" fontId="8" fillId="17" borderId="7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21" borderId="0" xfId="0" applyFill="1" applyAlignment="1">
      <alignment horizontal="right"/>
    </xf>
    <xf numFmtId="0" fontId="29" fillId="17" borderId="6" xfId="0" applyFont="1" applyFill="1" applyBorder="1" applyAlignment="1">
      <alignment horizontal="right" vertical="center" wrapText="1"/>
    </xf>
    <xf numFmtId="0" fontId="29" fillId="17" borderId="8" xfId="0" applyFont="1" applyFill="1" applyBorder="1" applyAlignment="1">
      <alignment horizontal="right" vertical="center" wrapText="1"/>
    </xf>
    <xf numFmtId="0" fontId="29" fillId="17" borderId="7" xfId="0" applyFont="1" applyFill="1" applyBorder="1" applyAlignment="1">
      <alignment horizontal="right" vertical="center" wrapText="1"/>
    </xf>
    <xf numFmtId="0" fontId="20" fillId="10" borderId="11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center" vertical="center" wrapText="1"/>
    </xf>
    <xf numFmtId="0" fontId="19" fillId="16" borderId="12" xfId="0" applyFont="1" applyFill="1" applyBorder="1" applyAlignment="1">
      <alignment horizontal="center" vertical="center"/>
    </xf>
    <xf numFmtId="0" fontId="19" fillId="16" borderId="13" xfId="0" applyFont="1" applyFill="1" applyBorder="1" applyAlignment="1">
      <alignment horizontal="center" vertical="center"/>
    </xf>
    <xf numFmtId="0" fontId="19" fillId="16" borderId="14" xfId="0" applyFont="1" applyFill="1" applyBorder="1" applyAlignment="1">
      <alignment horizontal="center" vertical="center"/>
    </xf>
    <xf numFmtId="0" fontId="19" fillId="16" borderId="10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30" fillId="19" borderId="0" xfId="0" applyFont="1" applyFill="1" applyBorder="1" applyAlignment="1">
      <alignment horizontal="center" vertical="center"/>
    </xf>
    <xf numFmtId="0" fontId="30" fillId="19" borderId="0" xfId="0" applyFont="1" applyFill="1" applyAlignment="1">
      <alignment horizontal="center" vertical="center"/>
    </xf>
    <xf numFmtId="0" fontId="12" fillId="12" borderId="1" xfId="0" applyFont="1" applyFill="1" applyBorder="1" applyAlignment="1">
      <alignment horizontal="left" vertical="center" wrapText="1"/>
    </xf>
    <xf numFmtId="0" fontId="18" fillId="14" borderId="1" xfId="0" applyFont="1" applyFill="1" applyBorder="1" applyAlignment="1">
      <alignment horizontal="left" vertical="center" wrapText="1"/>
    </xf>
    <xf numFmtId="0" fontId="12" fillId="14" borderId="1" xfId="0" applyFont="1" applyFill="1" applyBorder="1" applyAlignment="1">
      <alignment horizontal="left" vertical="center" wrapText="1"/>
    </xf>
    <xf numFmtId="0" fontId="3" fillId="25" borderId="3" xfId="0" applyFont="1" applyFill="1" applyBorder="1" applyAlignment="1">
      <alignment horizontal="center" vertical="center" wrapText="1"/>
    </xf>
    <xf numFmtId="0" fontId="3" fillId="25" borderId="5" xfId="0" applyFont="1" applyFill="1" applyBorder="1" applyAlignment="1">
      <alignment horizontal="center" vertical="center" wrapText="1"/>
    </xf>
    <xf numFmtId="0" fontId="3" fillId="25" borderId="4" xfId="0" applyFont="1" applyFill="1" applyBorder="1" applyAlignment="1">
      <alignment horizontal="center" vertical="center" wrapText="1"/>
    </xf>
    <xf numFmtId="0" fontId="2" fillId="18" borderId="3" xfId="0" quotePrefix="1" applyFont="1" applyFill="1" applyBorder="1" applyAlignment="1">
      <alignment horizontal="center" vertical="center" wrapText="1"/>
    </xf>
    <xf numFmtId="0" fontId="2" fillId="18" borderId="4" xfId="0" quotePrefix="1" applyFont="1" applyFill="1" applyBorder="1" applyAlignment="1">
      <alignment horizontal="center" vertical="center" wrapText="1"/>
    </xf>
    <xf numFmtId="9" fontId="2" fillId="25" borderId="3" xfId="0" quotePrefix="1" applyNumberFormat="1" applyFont="1" applyFill="1" applyBorder="1" applyAlignment="1">
      <alignment horizontal="center" vertical="center" wrapText="1"/>
    </xf>
    <xf numFmtId="9" fontId="2" fillId="25" borderId="4" xfId="0" quotePrefix="1" applyNumberFormat="1" applyFont="1" applyFill="1" applyBorder="1" applyAlignment="1">
      <alignment horizontal="center" vertical="center" wrapText="1"/>
    </xf>
    <xf numFmtId="0" fontId="12" fillId="14" borderId="2" xfId="0" applyFont="1" applyFill="1" applyBorder="1" applyAlignment="1">
      <alignment horizontal="center" vertical="center" wrapText="1"/>
    </xf>
    <xf numFmtId="0" fontId="12" fillId="14" borderId="9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25" borderId="3" xfId="0" quotePrefix="1" applyFont="1" applyFill="1" applyBorder="1" applyAlignment="1">
      <alignment horizontal="center" vertical="center" wrapText="1"/>
    </xf>
    <xf numFmtId="0" fontId="2" fillId="25" borderId="4" xfId="0" quotePrefix="1" applyFont="1" applyFill="1" applyBorder="1" applyAlignment="1">
      <alignment horizontal="center" vertical="center" wrapText="1"/>
    </xf>
    <xf numFmtId="0" fontId="3" fillId="25" borderId="3" xfId="0" applyFont="1" applyFill="1" applyBorder="1" applyAlignment="1">
      <alignment horizontal="center" wrapText="1"/>
    </xf>
    <xf numFmtId="0" fontId="3" fillId="25" borderId="4" xfId="0" applyFont="1" applyFill="1" applyBorder="1" applyAlignment="1">
      <alignment horizontal="center" wrapText="1"/>
    </xf>
    <xf numFmtId="0" fontId="2" fillId="25" borderId="5" xfId="0" quotePrefix="1" applyFont="1" applyFill="1" applyBorder="1" applyAlignment="1">
      <alignment horizontal="center" vertical="center" wrapText="1"/>
    </xf>
    <xf numFmtId="9" fontId="33" fillId="25" borderId="3" xfId="0" applyNumberFormat="1" applyFont="1" applyFill="1" applyBorder="1" applyAlignment="1">
      <alignment horizontal="center" vertical="center" wrapText="1"/>
    </xf>
    <xf numFmtId="9" fontId="33" fillId="25" borderId="5" xfId="0" applyNumberFormat="1" applyFont="1" applyFill="1" applyBorder="1" applyAlignment="1">
      <alignment horizontal="center" vertical="center" wrapText="1"/>
    </xf>
    <xf numFmtId="9" fontId="33" fillId="25" borderId="4" xfId="0" applyNumberFormat="1" applyFont="1" applyFill="1" applyBorder="1" applyAlignment="1">
      <alignment horizontal="center" vertical="center" wrapText="1"/>
    </xf>
    <xf numFmtId="9" fontId="2" fillId="18" borderId="3" xfId="0" quotePrefix="1" applyNumberFormat="1" applyFont="1" applyFill="1" applyBorder="1" applyAlignment="1">
      <alignment horizontal="center" vertical="center" wrapText="1"/>
    </xf>
    <xf numFmtId="9" fontId="2" fillId="18" borderId="4" xfId="0" quotePrefix="1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6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3" fillId="6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 tint="-0.499984740745262"/>
      </font>
      <fill>
        <patternFill>
          <bgColor theme="8" tint="0.59996337778862885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499984740745262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  <color rgb="FF0033CC"/>
      <color rgb="FFC6EFCE"/>
      <color rgb="FFFFCCFF"/>
      <color rgb="FFFFCCCC"/>
      <color rgb="FFCCFF99"/>
      <color rgb="FF800000"/>
      <color rgb="FF000099"/>
      <color rgb="FFFFEBEB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tabSelected="1" workbookViewId="0">
      <selection activeCell="B13" sqref="B13"/>
    </sheetView>
  </sheetViews>
  <sheetFormatPr baseColWidth="10" defaultRowHeight="14.5"/>
  <cols>
    <col min="1" max="1" width="3" customWidth="1"/>
    <col min="2" max="2" width="160.54296875" customWidth="1"/>
  </cols>
  <sheetData>
    <row r="1" spans="2:6" s="31" customFormat="1">
      <c r="B1" s="37" t="s">
        <v>139</v>
      </c>
    </row>
    <row r="2" spans="2:6">
      <c r="B2" s="36" t="s">
        <v>164</v>
      </c>
      <c r="C2" s="36"/>
      <c r="D2" s="36"/>
      <c r="E2" s="36"/>
      <c r="F2" s="36"/>
    </row>
    <row r="3" spans="2:6">
      <c r="B3" s="36" t="s">
        <v>138</v>
      </c>
      <c r="C3" s="36"/>
      <c r="D3" s="36"/>
      <c r="E3" s="36"/>
      <c r="F3" s="36"/>
    </row>
    <row r="5" spans="2:6">
      <c r="B5" s="101" t="s">
        <v>140</v>
      </c>
    </row>
    <row r="6" spans="2:6">
      <c r="B6" t="s">
        <v>141</v>
      </c>
    </row>
    <row r="7" spans="2:6">
      <c r="B7" t="s">
        <v>158</v>
      </c>
    </row>
    <row r="8" spans="2:6">
      <c r="B8" t="s">
        <v>142</v>
      </c>
    </row>
    <row r="10" spans="2:6">
      <c r="B10" s="101" t="s">
        <v>143</v>
      </c>
    </row>
    <row r="11" spans="2:6">
      <c r="B11" t="s">
        <v>166</v>
      </c>
    </row>
    <row r="12" spans="2:6">
      <c r="B12" t="s">
        <v>154</v>
      </c>
    </row>
    <row r="13" spans="2:6">
      <c r="B13" t="s">
        <v>144</v>
      </c>
    </row>
    <row r="15" spans="2:6">
      <c r="B15" s="101" t="s">
        <v>145</v>
      </c>
    </row>
    <row r="16" spans="2:6">
      <c r="B16" t="s">
        <v>149</v>
      </c>
    </row>
    <row r="17" spans="2:2">
      <c r="B17" t="s">
        <v>150</v>
      </c>
    </row>
    <row r="19" spans="2:2">
      <c r="B19" s="102" t="s">
        <v>146</v>
      </c>
    </row>
    <row r="20" spans="2:2">
      <c r="B20" t="s">
        <v>147</v>
      </c>
    </row>
    <row r="21" spans="2:2">
      <c r="B21" s="66" t="s">
        <v>148</v>
      </c>
    </row>
    <row r="22" spans="2:2">
      <c r="B22" s="66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21"/>
  <sheetViews>
    <sheetView zoomScaleNormal="100" workbookViewId="0">
      <selection activeCell="G6" sqref="G6"/>
    </sheetView>
  </sheetViews>
  <sheetFormatPr baseColWidth="10" defaultColWidth="23.7265625" defaultRowHeight="14.5"/>
  <cols>
    <col min="1" max="1" width="48.7265625" style="26" customWidth="1"/>
    <col min="2" max="2" width="20.1796875" style="26" customWidth="1"/>
    <col min="3" max="3" width="10" style="27" customWidth="1"/>
    <col min="4" max="4" width="8.7265625" style="26" customWidth="1"/>
    <col min="5" max="5" width="15.26953125" style="27" customWidth="1"/>
    <col min="6" max="6" width="2.54296875" style="27" customWidth="1"/>
    <col min="7" max="219" width="23.7265625" style="27"/>
    <col min="220" max="220" width="21.7265625" style="27" customWidth="1"/>
    <col min="221" max="221" width="90.7265625" style="27" customWidth="1"/>
    <col min="222" max="222" width="16.7265625" style="27" customWidth="1"/>
    <col min="223" max="225" width="10.453125" style="27" bestFit="1" customWidth="1"/>
    <col min="226" max="16384" width="23.7265625" style="27"/>
  </cols>
  <sheetData>
    <row r="1" spans="1:5" s="21" customFormat="1" ht="18">
      <c r="A1" s="110" t="s">
        <v>109</v>
      </c>
      <c r="B1" s="110"/>
      <c r="C1" s="110"/>
      <c r="D1" s="110"/>
      <c r="E1" s="110"/>
    </row>
    <row r="3" spans="1:5">
      <c r="A3" s="116" t="s">
        <v>110</v>
      </c>
      <c r="B3" s="116"/>
      <c r="C3" s="116"/>
      <c r="D3" s="116"/>
      <c r="E3" s="20" t="s">
        <v>1</v>
      </c>
    </row>
    <row r="5" spans="1:5" s="21" customFormat="1" ht="18">
      <c r="A5" s="110" t="s">
        <v>156</v>
      </c>
      <c r="B5" s="110"/>
      <c r="C5" s="110"/>
      <c r="D5" s="110"/>
      <c r="E5" s="110"/>
    </row>
    <row r="6" spans="1:5" customFormat="1" ht="15" customHeight="1">
      <c r="A6" s="22"/>
      <c r="B6" s="22"/>
      <c r="C6" s="22"/>
      <c r="D6" s="22"/>
    </row>
    <row r="7" spans="1:5" customFormat="1" ht="21">
      <c r="A7" s="23" t="s">
        <v>50</v>
      </c>
      <c r="B7" s="24" t="s">
        <v>51</v>
      </c>
      <c r="C7" s="23" t="s">
        <v>52</v>
      </c>
      <c r="D7" s="23" t="s">
        <v>62</v>
      </c>
      <c r="E7" s="23" t="s">
        <v>63</v>
      </c>
    </row>
    <row r="8" spans="1:5" customFormat="1" ht="15" customHeight="1">
      <c r="A8" s="28" t="s">
        <v>57</v>
      </c>
      <c r="B8" s="25" t="s">
        <v>55</v>
      </c>
      <c r="C8" s="99">
        <v>90</v>
      </c>
      <c r="D8" s="99">
        <v>1</v>
      </c>
      <c r="E8" s="105">
        <f>C8*D8</f>
        <v>90</v>
      </c>
    </row>
    <row r="9" spans="1:5" customFormat="1" ht="15" customHeight="1">
      <c r="A9" s="28" t="s">
        <v>58</v>
      </c>
      <c r="B9" s="25" t="s">
        <v>54</v>
      </c>
      <c r="C9" s="99">
        <v>90</v>
      </c>
      <c r="D9" s="99">
        <v>1</v>
      </c>
      <c r="E9" s="105">
        <f t="shared" ref="E9:E15" si="0">C9*D9</f>
        <v>90</v>
      </c>
    </row>
    <row r="10" spans="1:5" customFormat="1" ht="15" customHeight="1">
      <c r="A10" s="114" t="s">
        <v>59</v>
      </c>
      <c r="B10" s="25" t="s">
        <v>55</v>
      </c>
      <c r="C10" s="99">
        <v>50</v>
      </c>
      <c r="D10" s="99">
        <v>3</v>
      </c>
      <c r="E10" s="105">
        <f t="shared" si="0"/>
        <v>150</v>
      </c>
    </row>
    <row r="11" spans="1:5" customFormat="1" ht="15" customHeight="1">
      <c r="A11" s="115"/>
      <c r="B11" s="25" t="s">
        <v>54</v>
      </c>
      <c r="C11" s="99">
        <v>65</v>
      </c>
      <c r="D11" s="99">
        <v>1</v>
      </c>
      <c r="E11" s="105">
        <f t="shared" si="0"/>
        <v>65</v>
      </c>
    </row>
    <row r="12" spans="1:5" customFormat="1" ht="15" customHeight="1">
      <c r="A12" s="115"/>
      <c r="B12" s="25" t="s">
        <v>53</v>
      </c>
      <c r="C12" s="99">
        <v>70</v>
      </c>
      <c r="D12" s="99">
        <v>1</v>
      </c>
      <c r="E12" s="105">
        <f t="shared" si="0"/>
        <v>70</v>
      </c>
    </row>
    <row r="13" spans="1:5" customFormat="1" ht="15" customHeight="1">
      <c r="A13" s="28" t="s">
        <v>60</v>
      </c>
      <c r="B13" s="25" t="s">
        <v>55</v>
      </c>
      <c r="C13" s="99">
        <v>50</v>
      </c>
      <c r="D13" s="99">
        <v>1</v>
      </c>
      <c r="E13" s="105">
        <f t="shared" si="0"/>
        <v>50</v>
      </c>
    </row>
    <row r="14" spans="1:5" customFormat="1" ht="15" customHeight="1">
      <c r="A14" s="28" t="s">
        <v>61</v>
      </c>
      <c r="B14" s="25" t="s">
        <v>54</v>
      </c>
      <c r="C14" s="99">
        <v>95</v>
      </c>
      <c r="D14" s="99">
        <v>4</v>
      </c>
      <c r="E14" s="105">
        <f t="shared" si="0"/>
        <v>380</v>
      </c>
    </row>
    <row r="15" spans="1:5" customFormat="1" ht="15" customHeight="1">
      <c r="A15" s="29" t="s">
        <v>56</v>
      </c>
      <c r="B15" s="25" t="s">
        <v>53</v>
      </c>
      <c r="C15" s="99">
        <v>90</v>
      </c>
      <c r="D15" s="99">
        <v>1</v>
      </c>
      <c r="E15" s="105">
        <f t="shared" si="0"/>
        <v>90</v>
      </c>
    </row>
    <row r="16" spans="1:5" s="31" customFormat="1" ht="15" customHeight="1">
      <c r="A16" s="117" t="s">
        <v>108</v>
      </c>
      <c r="B16" s="118"/>
      <c r="C16" s="119"/>
      <c r="D16" s="98">
        <f>SUM(D8:D15)</f>
        <v>13</v>
      </c>
      <c r="E16" s="98">
        <f>SUM(E8:E15)</f>
        <v>985</v>
      </c>
    </row>
    <row r="17" spans="1:5" s="31" customFormat="1" ht="15" customHeight="1">
      <c r="A17" s="117" t="s">
        <v>107</v>
      </c>
      <c r="B17" s="118"/>
      <c r="C17" s="118"/>
      <c r="D17" s="119"/>
      <c r="E17" s="104">
        <f>E16/D16</f>
        <v>75.769230769230774</v>
      </c>
    </row>
    <row r="19" spans="1:5" ht="18">
      <c r="A19" s="110" t="s">
        <v>157</v>
      </c>
      <c r="B19" s="110"/>
      <c r="C19" s="110"/>
      <c r="D19" s="110"/>
      <c r="E19" s="110"/>
    </row>
    <row r="21" spans="1:5" ht="14">
      <c r="A21" s="111" t="s">
        <v>137</v>
      </c>
      <c r="B21" s="112"/>
      <c r="C21" s="112"/>
      <c r="D21" s="113"/>
      <c r="E21" s="100">
        <v>5000</v>
      </c>
    </row>
  </sheetData>
  <mergeCells count="8">
    <mergeCell ref="A19:E19"/>
    <mergeCell ref="A21:D21"/>
    <mergeCell ref="A5:E5"/>
    <mergeCell ref="A10:A12"/>
    <mergeCell ref="A1:E1"/>
    <mergeCell ref="A3:D3"/>
    <mergeCell ref="A16:C16"/>
    <mergeCell ref="A17:D17"/>
  </mergeCells>
  <conditionalFormatting sqref="A7 A6:C6 A18:C18 C10:D13 D14 D9 E9:E17 A5 A20:C20 A22:C1048576 C8:F8 F9:F14 E6:XFD6 E18:XFD18 F5:XFD5 E20:XFD20 F19:XFD19 E22:XFD1048576 F21:XFD21 F15:XFD17 F1:XFD1 G8:XFD14 F7:XFD7">
    <cfRule type="cellIs" dxfId="47" priority="38" operator="equal">
      <formula>"Valeur ?"</formula>
    </cfRule>
  </conditionalFormatting>
  <conditionalFormatting sqref="C7">
    <cfRule type="cellIs" dxfId="46" priority="34" operator="equal">
      <formula>"Valeur ?"</formula>
    </cfRule>
  </conditionalFormatting>
  <conditionalFormatting sqref="D15:D16">
    <cfRule type="cellIs" dxfId="45" priority="25" operator="equal">
      <formula>"Valeur ?"</formula>
    </cfRule>
  </conditionalFormatting>
  <conditionalFormatting sqref="D6 D18 D20 D22:D1048576">
    <cfRule type="cellIs" dxfId="44" priority="29" operator="equal">
      <formula>"Valeur ?"</formula>
    </cfRule>
  </conditionalFormatting>
  <conditionalFormatting sqref="D7">
    <cfRule type="cellIs" dxfId="43" priority="28" operator="equal">
      <formula>"Valeur ?"</formula>
    </cfRule>
  </conditionalFormatting>
  <conditionalFormatting sqref="C9">
    <cfRule type="cellIs" dxfId="42" priority="23" operator="equal">
      <formula>"Valeur ?"</formula>
    </cfRule>
  </conditionalFormatting>
  <conditionalFormatting sqref="C14">
    <cfRule type="cellIs" dxfId="41" priority="21" operator="equal">
      <formula>"Valeur ?"</formula>
    </cfRule>
  </conditionalFormatting>
  <conditionalFormatting sqref="C15">
    <cfRule type="cellIs" dxfId="40" priority="20" operator="equal">
      <formula>"Valeur ?"</formula>
    </cfRule>
  </conditionalFormatting>
  <conditionalFormatting sqref="E7">
    <cfRule type="cellIs" dxfId="39" priority="15" operator="equal">
      <formula>"Valeur ?"</formula>
    </cfRule>
  </conditionalFormatting>
  <conditionalFormatting sqref="A1">
    <cfRule type="cellIs" dxfId="38" priority="10" operator="equal">
      <formula>"Valeur ?"</formula>
    </cfRule>
  </conditionalFormatting>
  <conditionalFormatting sqref="E3">
    <cfRule type="expression" dxfId="37" priority="8">
      <formula>$E3="Oui"</formula>
    </cfRule>
    <cfRule type="expression" dxfId="36" priority="9">
      <formula>$E3="Non"</formula>
    </cfRule>
  </conditionalFormatting>
  <conditionalFormatting sqref="A19">
    <cfRule type="cellIs" dxfId="35" priority="7" operator="equal">
      <formula>"Valeur ?"</formula>
    </cfRule>
  </conditionalFormatting>
  <conditionalFormatting sqref="E21">
    <cfRule type="cellIs" dxfId="34" priority="6" operator="equal">
      <formula>"Valeur ?"</formula>
    </cfRule>
  </conditionalFormatting>
  <conditionalFormatting sqref="A2:C2 E2:XFD2">
    <cfRule type="cellIs" dxfId="33" priority="4" operator="equal">
      <formula>"Valeur ?"</formula>
    </cfRule>
  </conditionalFormatting>
  <conditionalFormatting sqref="D2">
    <cfRule type="cellIs" dxfId="32" priority="3" operator="equal">
      <formula>"Valeur ?"</formula>
    </cfRule>
  </conditionalFormatting>
  <conditionalFormatting sqref="A4:C4 E4:XFD4">
    <cfRule type="cellIs" dxfId="31" priority="2" operator="equal">
      <formula>"Valeur ?"</formula>
    </cfRule>
  </conditionalFormatting>
  <conditionalFormatting sqref="D4">
    <cfRule type="cellIs" dxfId="30" priority="1" operator="equal">
      <formula>"Valeur ?"</formula>
    </cfRule>
  </conditionalFormatting>
  <dataValidations count="2">
    <dataValidation showInputMessage="1" showErrorMessage="1" sqref="D7 A7:A17 A21 B7:B15"/>
    <dataValidation type="list" showInputMessage="1" showErrorMessage="1" sqref="E3">
      <formula1>"Oui,Non"</formula1>
    </dataValidation>
  </dataValidations>
  <pageMargins left="0.70866141732283472" right="0.70866141732283472" top="0.74803149606299213" bottom="0.74803149606299213" header="0.31496062992125984" footer="0.31496062992125984"/>
  <pageSetup paperSize="8" scale="81" fitToHeight="0" orientation="landscape" r:id="rId1"/>
  <headerFooter>
    <oddHeader>&amp;LSIMMT&amp;CSM SI MCO T : LOT 1 SMA</oddHeader>
    <oddFooter>&amp;L&amp;F&amp;RPage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5"/>
  <sheetViews>
    <sheetView zoomScaleNormal="100" workbookViewId="0">
      <pane ySplit="4" topLeftCell="A5" activePane="bottomLeft" state="frozen"/>
      <selection pane="bottomLeft" activeCell="L8" sqref="L8"/>
    </sheetView>
  </sheetViews>
  <sheetFormatPr baseColWidth="10" defaultRowHeight="14.5"/>
  <cols>
    <col min="1" max="1" width="5" customWidth="1"/>
    <col min="2" max="2" width="23.54296875" style="49" customWidth="1"/>
    <col min="3" max="3" width="12.7265625" style="41" customWidth="1"/>
    <col min="4" max="4" width="1.7265625" customWidth="1"/>
    <col min="5" max="5" width="12.54296875" style="41" customWidth="1"/>
    <col min="6" max="6" width="13.26953125" style="41" customWidth="1"/>
    <col min="7" max="7" width="1.7265625" style="31" customWidth="1"/>
    <col min="8" max="8" width="13.1796875" customWidth="1"/>
    <col min="9" max="9" width="13.26953125" style="41" customWidth="1"/>
    <col min="10" max="10" width="1.81640625" customWidth="1"/>
    <col min="11" max="11" width="11.453125" customWidth="1"/>
  </cols>
  <sheetData>
    <row r="1" spans="1:9" ht="15.5">
      <c r="A1" s="120" t="s">
        <v>70</v>
      </c>
      <c r="B1" s="120"/>
      <c r="C1" s="120"/>
      <c r="D1" s="120"/>
      <c r="E1" s="120"/>
      <c r="F1" s="120"/>
      <c r="G1" s="120"/>
      <c r="H1" s="120"/>
      <c r="I1" s="120"/>
    </row>
    <row r="2" spans="1:9">
      <c r="E2" s="123" t="s">
        <v>66</v>
      </c>
      <c r="F2" s="124"/>
      <c r="H2" s="125" t="s">
        <v>95</v>
      </c>
      <c r="I2" s="126"/>
    </row>
    <row r="3" spans="1:9" ht="36.75" customHeight="1">
      <c r="A3" s="121" t="s">
        <v>0</v>
      </c>
      <c r="B3" s="42" t="s">
        <v>46</v>
      </c>
      <c r="C3" s="42" t="s">
        <v>77</v>
      </c>
      <c r="D3" s="39"/>
      <c r="E3" s="40" t="s">
        <v>152</v>
      </c>
      <c r="F3" s="43" t="s">
        <v>76</v>
      </c>
      <c r="G3" s="32"/>
      <c r="H3" s="40" t="s">
        <v>96</v>
      </c>
      <c r="I3" s="43" t="s">
        <v>101</v>
      </c>
    </row>
    <row r="4" spans="1:9">
      <c r="A4" s="122"/>
      <c r="B4" s="47">
        <f>COUNTA(B5:B44)</f>
        <v>9</v>
      </c>
      <c r="C4" s="47">
        <f>SUM(C5:C44)</f>
        <v>11000</v>
      </c>
      <c r="D4" s="39"/>
      <c r="E4" s="46">
        <f>COUNTIF(E5:E44,"Oui")</f>
        <v>5</v>
      </c>
      <c r="F4" s="45">
        <f>SUM(F5:F44)</f>
        <v>4950</v>
      </c>
      <c r="G4" s="32"/>
      <c r="H4" s="46">
        <f>COUNTIF(H5:H44,"Oui")</f>
        <v>3</v>
      </c>
      <c r="I4" s="45">
        <f>SUM(I5:I44)</f>
        <v>5750</v>
      </c>
    </row>
    <row r="5" spans="1:9" ht="15" customHeight="1">
      <c r="A5" s="20">
        <v>1</v>
      </c>
      <c r="B5" s="50" t="s">
        <v>71</v>
      </c>
      <c r="C5" s="20">
        <v>300</v>
      </c>
      <c r="D5" s="1"/>
      <c r="E5" s="20" t="s">
        <v>2</v>
      </c>
      <c r="F5" s="44">
        <f>IF(E5="Oui",C5,0)</f>
        <v>0</v>
      </c>
      <c r="G5" s="32"/>
      <c r="H5" s="11" t="s">
        <v>2</v>
      </c>
      <c r="I5" s="44">
        <f>IF(H5="Oui",C5,0)</f>
        <v>0</v>
      </c>
    </row>
    <row r="6" spans="1:9">
      <c r="A6" s="20">
        <v>2</v>
      </c>
      <c r="B6" s="50" t="s">
        <v>72</v>
      </c>
      <c r="C6" s="20">
        <v>500</v>
      </c>
      <c r="D6" s="1"/>
      <c r="E6" s="20" t="s">
        <v>1</v>
      </c>
      <c r="F6" s="44">
        <f t="shared" ref="F6:F44" si="0">IF(E6="Oui",C6,0)</f>
        <v>500</v>
      </c>
      <c r="G6" s="32"/>
      <c r="H6" s="11"/>
      <c r="I6" s="44">
        <f t="shared" ref="I6:I44" si="1">IF(H6="Oui",C6,0)</f>
        <v>0</v>
      </c>
    </row>
    <row r="7" spans="1:9">
      <c r="A7" s="20">
        <v>3</v>
      </c>
      <c r="B7" s="50" t="s">
        <v>73</v>
      </c>
      <c r="C7" s="20">
        <v>200</v>
      </c>
      <c r="D7" s="1"/>
      <c r="E7" s="20" t="s">
        <v>1</v>
      </c>
      <c r="F7" s="44">
        <f t="shared" si="0"/>
        <v>200</v>
      </c>
      <c r="G7" s="32"/>
      <c r="H7" s="11"/>
      <c r="I7" s="44">
        <f t="shared" si="1"/>
        <v>0</v>
      </c>
    </row>
    <row r="8" spans="1:9">
      <c r="A8" s="20">
        <v>4</v>
      </c>
      <c r="B8" s="50" t="s">
        <v>74</v>
      </c>
      <c r="C8" s="20">
        <v>250</v>
      </c>
      <c r="D8" s="1"/>
      <c r="E8" s="20" t="s">
        <v>2</v>
      </c>
      <c r="F8" s="44">
        <f t="shared" si="0"/>
        <v>0</v>
      </c>
      <c r="G8" s="32"/>
      <c r="H8" s="11" t="s">
        <v>1</v>
      </c>
      <c r="I8" s="44">
        <f t="shared" si="1"/>
        <v>250</v>
      </c>
    </row>
    <row r="9" spans="1:9">
      <c r="A9" s="20">
        <v>5</v>
      </c>
      <c r="B9" s="50" t="s">
        <v>113</v>
      </c>
      <c r="C9" s="20">
        <v>2000</v>
      </c>
      <c r="D9" s="1"/>
      <c r="E9" s="20" t="s">
        <v>1</v>
      </c>
      <c r="F9" s="44">
        <f t="shared" si="0"/>
        <v>2000</v>
      </c>
      <c r="G9" s="32"/>
      <c r="H9" s="11"/>
      <c r="I9" s="44">
        <f t="shared" si="1"/>
        <v>0</v>
      </c>
    </row>
    <row r="10" spans="1:9">
      <c r="A10" s="20">
        <v>6</v>
      </c>
      <c r="B10" s="50" t="s">
        <v>113</v>
      </c>
      <c r="C10" s="20">
        <v>2500</v>
      </c>
      <c r="D10" s="1"/>
      <c r="E10" s="20" t="s">
        <v>2</v>
      </c>
      <c r="F10" s="44">
        <f t="shared" si="0"/>
        <v>0</v>
      </c>
      <c r="G10" s="32"/>
      <c r="H10" s="11" t="s">
        <v>1</v>
      </c>
      <c r="I10" s="44">
        <f t="shared" si="1"/>
        <v>2500</v>
      </c>
    </row>
    <row r="11" spans="1:9">
      <c r="A11" s="20">
        <v>7</v>
      </c>
      <c r="B11" s="50" t="s">
        <v>134</v>
      </c>
      <c r="C11" s="20">
        <v>250</v>
      </c>
      <c r="D11" s="1"/>
      <c r="E11" s="20" t="s">
        <v>1</v>
      </c>
      <c r="F11" s="44">
        <f t="shared" si="0"/>
        <v>250</v>
      </c>
      <c r="G11" s="32"/>
      <c r="H11" s="11"/>
      <c r="I11" s="44">
        <f t="shared" si="1"/>
        <v>0</v>
      </c>
    </row>
    <row r="12" spans="1:9">
      <c r="A12" s="20">
        <v>8</v>
      </c>
      <c r="B12" s="50" t="s">
        <v>153</v>
      </c>
      <c r="C12" s="20">
        <v>3000</v>
      </c>
      <c r="D12" s="1"/>
      <c r="E12" s="20" t="s">
        <v>2</v>
      </c>
      <c r="F12" s="44">
        <f t="shared" si="0"/>
        <v>0</v>
      </c>
      <c r="G12" s="32"/>
      <c r="H12" s="11" t="s">
        <v>1</v>
      </c>
      <c r="I12" s="44">
        <f t="shared" si="1"/>
        <v>3000</v>
      </c>
    </row>
    <row r="13" spans="1:9">
      <c r="A13" s="20">
        <v>9</v>
      </c>
      <c r="B13" s="50" t="s">
        <v>155</v>
      </c>
      <c r="C13" s="20">
        <v>2000</v>
      </c>
      <c r="D13" s="1"/>
      <c r="E13" s="20" t="s">
        <v>1</v>
      </c>
      <c r="F13" s="44">
        <f t="shared" si="0"/>
        <v>2000</v>
      </c>
      <c r="G13" s="32"/>
      <c r="H13" s="11"/>
      <c r="I13" s="44">
        <f t="shared" si="1"/>
        <v>0</v>
      </c>
    </row>
    <row r="14" spans="1:9">
      <c r="A14" s="20">
        <v>10</v>
      </c>
      <c r="B14" s="50"/>
      <c r="C14" s="20"/>
      <c r="D14" s="1"/>
      <c r="E14" s="20"/>
      <c r="F14" s="44">
        <f t="shared" si="0"/>
        <v>0</v>
      </c>
      <c r="G14" s="32"/>
      <c r="H14" s="11"/>
      <c r="I14" s="44">
        <f t="shared" si="1"/>
        <v>0</v>
      </c>
    </row>
    <row r="15" spans="1:9">
      <c r="A15" s="20">
        <v>11</v>
      </c>
      <c r="B15" s="50"/>
      <c r="C15" s="20"/>
      <c r="D15" s="1"/>
      <c r="E15" s="20"/>
      <c r="F15" s="44">
        <f t="shared" si="0"/>
        <v>0</v>
      </c>
      <c r="G15" s="32"/>
      <c r="H15" s="11"/>
      <c r="I15" s="44">
        <f t="shared" si="1"/>
        <v>0</v>
      </c>
    </row>
    <row r="16" spans="1:9">
      <c r="A16" s="20">
        <v>12</v>
      </c>
      <c r="B16" s="50"/>
      <c r="C16" s="20"/>
      <c r="D16" s="1"/>
      <c r="E16" s="20"/>
      <c r="F16" s="44">
        <f t="shared" si="0"/>
        <v>0</v>
      </c>
      <c r="G16" s="32"/>
      <c r="H16" s="11"/>
      <c r="I16" s="44">
        <f t="shared" si="1"/>
        <v>0</v>
      </c>
    </row>
    <row r="17" spans="1:9">
      <c r="A17" s="20">
        <v>13</v>
      </c>
      <c r="B17" s="50"/>
      <c r="C17" s="20"/>
      <c r="D17" s="1"/>
      <c r="E17" s="20"/>
      <c r="F17" s="44">
        <f t="shared" si="0"/>
        <v>0</v>
      </c>
      <c r="G17" s="32"/>
      <c r="H17" s="11"/>
      <c r="I17" s="44">
        <f t="shared" si="1"/>
        <v>0</v>
      </c>
    </row>
    <row r="18" spans="1:9">
      <c r="A18" s="20">
        <v>14</v>
      </c>
      <c r="B18" s="50"/>
      <c r="C18" s="20"/>
      <c r="D18" s="1"/>
      <c r="E18" s="20"/>
      <c r="F18" s="44">
        <f t="shared" si="0"/>
        <v>0</v>
      </c>
      <c r="G18" s="32"/>
      <c r="H18" s="11"/>
      <c r="I18" s="44">
        <f t="shared" si="1"/>
        <v>0</v>
      </c>
    </row>
    <row r="19" spans="1:9" ht="15" customHeight="1">
      <c r="A19" s="20">
        <v>15</v>
      </c>
      <c r="B19" s="50"/>
      <c r="C19" s="20"/>
      <c r="D19" s="1"/>
      <c r="E19" s="20"/>
      <c r="F19" s="44">
        <f t="shared" si="0"/>
        <v>0</v>
      </c>
      <c r="G19" s="32"/>
      <c r="H19" s="11"/>
      <c r="I19" s="44">
        <f t="shared" si="1"/>
        <v>0</v>
      </c>
    </row>
    <row r="20" spans="1:9">
      <c r="A20" s="20">
        <v>16</v>
      </c>
      <c r="B20" s="50"/>
      <c r="C20" s="20"/>
      <c r="D20" s="1"/>
      <c r="E20" s="20"/>
      <c r="F20" s="44">
        <f t="shared" si="0"/>
        <v>0</v>
      </c>
      <c r="G20" s="32"/>
      <c r="H20" s="11"/>
      <c r="I20" s="44">
        <f t="shared" si="1"/>
        <v>0</v>
      </c>
    </row>
    <row r="21" spans="1:9">
      <c r="A21" s="20">
        <v>17</v>
      </c>
      <c r="B21" s="50"/>
      <c r="C21" s="20"/>
      <c r="D21" s="1"/>
      <c r="E21" s="20"/>
      <c r="F21" s="44">
        <f t="shared" si="0"/>
        <v>0</v>
      </c>
      <c r="G21" s="32"/>
      <c r="H21" s="11"/>
      <c r="I21" s="44">
        <f t="shared" si="1"/>
        <v>0</v>
      </c>
    </row>
    <row r="22" spans="1:9">
      <c r="A22" s="20">
        <v>18</v>
      </c>
      <c r="B22" s="50"/>
      <c r="C22" s="20"/>
      <c r="D22" s="1"/>
      <c r="E22" s="20"/>
      <c r="F22" s="44">
        <f t="shared" si="0"/>
        <v>0</v>
      </c>
      <c r="G22" s="32"/>
      <c r="H22" s="11"/>
      <c r="I22" s="44">
        <f t="shared" si="1"/>
        <v>0</v>
      </c>
    </row>
    <row r="23" spans="1:9">
      <c r="A23" s="20">
        <v>19</v>
      </c>
      <c r="B23" s="50"/>
      <c r="C23" s="20"/>
      <c r="D23" s="1"/>
      <c r="E23" s="20"/>
      <c r="F23" s="44">
        <f t="shared" si="0"/>
        <v>0</v>
      </c>
      <c r="G23" s="32"/>
      <c r="H23" s="11"/>
      <c r="I23" s="44">
        <f t="shared" si="1"/>
        <v>0</v>
      </c>
    </row>
    <row r="24" spans="1:9">
      <c r="A24" s="20">
        <v>20</v>
      </c>
      <c r="B24" s="50"/>
      <c r="C24" s="20"/>
      <c r="D24" s="1"/>
      <c r="E24" s="20"/>
      <c r="F24" s="44">
        <f t="shared" si="0"/>
        <v>0</v>
      </c>
      <c r="G24" s="32"/>
      <c r="H24" s="11"/>
      <c r="I24" s="44">
        <f t="shared" si="1"/>
        <v>0</v>
      </c>
    </row>
    <row r="25" spans="1:9">
      <c r="A25" s="20">
        <v>21</v>
      </c>
      <c r="B25" s="50"/>
      <c r="C25" s="20"/>
      <c r="D25" s="1"/>
      <c r="E25" s="20"/>
      <c r="F25" s="44">
        <f t="shared" si="0"/>
        <v>0</v>
      </c>
      <c r="G25" s="32"/>
      <c r="H25" s="11"/>
      <c r="I25" s="44">
        <f t="shared" si="1"/>
        <v>0</v>
      </c>
    </row>
    <row r="26" spans="1:9">
      <c r="A26" s="20">
        <v>22</v>
      </c>
      <c r="B26" s="50"/>
      <c r="C26" s="20"/>
      <c r="D26" s="1"/>
      <c r="E26" s="20"/>
      <c r="F26" s="44">
        <f t="shared" si="0"/>
        <v>0</v>
      </c>
      <c r="G26" s="32"/>
      <c r="H26" s="11"/>
      <c r="I26" s="44">
        <f t="shared" si="1"/>
        <v>0</v>
      </c>
    </row>
    <row r="27" spans="1:9">
      <c r="A27" s="20">
        <v>23</v>
      </c>
      <c r="B27" s="50"/>
      <c r="C27" s="20"/>
      <c r="D27" s="1"/>
      <c r="E27" s="20"/>
      <c r="F27" s="44">
        <f t="shared" si="0"/>
        <v>0</v>
      </c>
      <c r="G27" s="32"/>
      <c r="H27" s="11"/>
      <c r="I27" s="44">
        <f t="shared" si="1"/>
        <v>0</v>
      </c>
    </row>
    <row r="28" spans="1:9">
      <c r="A28" s="20">
        <v>24</v>
      </c>
      <c r="B28" s="50"/>
      <c r="C28" s="20"/>
      <c r="D28" s="1"/>
      <c r="E28" s="20"/>
      <c r="F28" s="44">
        <f t="shared" si="0"/>
        <v>0</v>
      </c>
      <c r="G28" s="32"/>
      <c r="H28" s="11"/>
      <c r="I28" s="44">
        <f t="shared" si="1"/>
        <v>0</v>
      </c>
    </row>
    <row r="29" spans="1:9">
      <c r="A29" s="20">
        <v>25</v>
      </c>
      <c r="B29" s="50"/>
      <c r="C29" s="20"/>
      <c r="D29" s="1"/>
      <c r="E29" s="20"/>
      <c r="F29" s="44">
        <f t="shared" si="0"/>
        <v>0</v>
      </c>
      <c r="G29" s="32"/>
      <c r="H29" s="11"/>
      <c r="I29" s="44">
        <f t="shared" si="1"/>
        <v>0</v>
      </c>
    </row>
    <row r="30" spans="1:9">
      <c r="A30" s="20">
        <v>26</v>
      </c>
      <c r="B30" s="50"/>
      <c r="C30" s="20"/>
      <c r="D30" s="1"/>
      <c r="E30" s="20"/>
      <c r="F30" s="44">
        <f t="shared" si="0"/>
        <v>0</v>
      </c>
      <c r="G30" s="32"/>
      <c r="H30" s="11"/>
      <c r="I30" s="44">
        <f t="shared" si="1"/>
        <v>0</v>
      </c>
    </row>
    <row r="31" spans="1:9">
      <c r="A31" s="20">
        <v>27</v>
      </c>
      <c r="B31" s="50"/>
      <c r="C31" s="20"/>
      <c r="D31" s="1"/>
      <c r="E31" s="20"/>
      <c r="F31" s="44">
        <f t="shared" si="0"/>
        <v>0</v>
      </c>
      <c r="G31" s="32"/>
      <c r="H31" s="11"/>
      <c r="I31" s="44">
        <f t="shared" si="1"/>
        <v>0</v>
      </c>
    </row>
    <row r="32" spans="1:9">
      <c r="A32" s="20">
        <v>28</v>
      </c>
      <c r="B32" s="50"/>
      <c r="C32" s="20"/>
      <c r="D32" s="1"/>
      <c r="E32" s="20"/>
      <c r="F32" s="44">
        <f t="shared" si="0"/>
        <v>0</v>
      </c>
      <c r="G32" s="32"/>
      <c r="H32" s="11"/>
      <c r="I32" s="44">
        <f t="shared" si="1"/>
        <v>0</v>
      </c>
    </row>
    <row r="33" spans="1:9">
      <c r="A33" s="20">
        <v>29</v>
      </c>
      <c r="B33" s="50"/>
      <c r="C33" s="20"/>
      <c r="D33" s="1"/>
      <c r="E33" s="20"/>
      <c r="F33" s="44">
        <f t="shared" si="0"/>
        <v>0</v>
      </c>
      <c r="G33" s="32"/>
      <c r="H33" s="11"/>
      <c r="I33" s="44">
        <f t="shared" si="1"/>
        <v>0</v>
      </c>
    </row>
    <row r="34" spans="1:9">
      <c r="A34" s="20">
        <v>30</v>
      </c>
      <c r="B34" s="50"/>
      <c r="C34" s="20"/>
      <c r="D34" s="1"/>
      <c r="E34" s="20"/>
      <c r="F34" s="44">
        <f t="shared" si="0"/>
        <v>0</v>
      </c>
      <c r="G34" s="32"/>
      <c r="H34" s="11"/>
      <c r="I34" s="44">
        <f t="shared" si="1"/>
        <v>0</v>
      </c>
    </row>
    <row r="35" spans="1:9">
      <c r="A35" s="20">
        <v>31</v>
      </c>
      <c r="B35" s="50"/>
      <c r="C35" s="20"/>
      <c r="D35" s="1"/>
      <c r="E35" s="20"/>
      <c r="F35" s="44">
        <f t="shared" si="0"/>
        <v>0</v>
      </c>
      <c r="G35" s="32"/>
      <c r="H35" s="11"/>
      <c r="I35" s="44">
        <f t="shared" si="1"/>
        <v>0</v>
      </c>
    </row>
    <row r="36" spans="1:9">
      <c r="A36" s="20">
        <v>32</v>
      </c>
      <c r="B36" s="50"/>
      <c r="C36" s="20"/>
      <c r="D36" s="1"/>
      <c r="E36" s="20"/>
      <c r="F36" s="44">
        <f t="shared" si="0"/>
        <v>0</v>
      </c>
      <c r="G36" s="32"/>
      <c r="H36" s="11"/>
      <c r="I36" s="44">
        <f t="shared" si="1"/>
        <v>0</v>
      </c>
    </row>
    <row r="37" spans="1:9">
      <c r="A37" s="20">
        <v>33</v>
      </c>
      <c r="B37" s="50"/>
      <c r="C37" s="20"/>
      <c r="D37" s="1"/>
      <c r="E37" s="20"/>
      <c r="F37" s="44">
        <f t="shared" si="0"/>
        <v>0</v>
      </c>
      <c r="G37" s="32"/>
      <c r="H37" s="11"/>
      <c r="I37" s="44">
        <f t="shared" si="1"/>
        <v>0</v>
      </c>
    </row>
    <row r="38" spans="1:9" s="31" customFormat="1">
      <c r="A38" s="20">
        <v>34</v>
      </c>
      <c r="B38" s="50"/>
      <c r="C38" s="20"/>
      <c r="D38" s="32"/>
      <c r="E38" s="20"/>
      <c r="F38" s="44">
        <f t="shared" si="0"/>
        <v>0</v>
      </c>
      <c r="G38" s="32"/>
      <c r="H38" s="33"/>
      <c r="I38" s="44">
        <f t="shared" si="1"/>
        <v>0</v>
      </c>
    </row>
    <row r="39" spans="1:9" s="31" customFormat="1">
      <c r="A39" s="20">
        <v>35</v>
      </c>
      <c r="B39" s="50"/>
      <c r="C39" s="20"/>
      <c r="D39" s="32"/>
      <c r="E39" s="20"/>
      <c r="F39" s="44">
        <f t="shared" si="0"/>
        <v>0</v>
      </c>
      <c r="G39" s="32"/>
      <c r="H39" s="33"/>
      <c r="I39" s="44">
        <f t="shared" si="1"/>
        <v>0</v>
      </c>
    </row>
    <row r="40" spans="1:9" s="31" customFormat="1">
      <c r="A40" s="20">
        <v>36</v>
      </c>
      <c r="B40" s="50"/>
      <c r="C40" s="20"/>
      <c r="D40" s="32"/>
      <c r="E40" s="20"/>
      <c r="F40" s="44">
        <f t="shared" si="0"/>
        <v>0</v>
      </c>
      <c r="G40" s="32"/>
      <c r="H40" s="33"/>
      <c r="I40" s="44">
        <f t="shared" si="1"/>
        <v>0</v>
      </c>
    </row>
    <row r="41" spans="1:9" s="31" customFormat="1">
      <c r="A41" s="20">
        <v>37</v>
      </c>
      <c r="B41" s="50"/>
      <c r="C41" s="20"/>
      <c r="D41" s="32"/>
      <c r="E41" s="20"/>
      <c r="F41" s="44">
        <f t="shared" si="0"/>
        <v>0</v>
      </c>
      <c r="G41" s="32"/>
      <c r="H41" s="33"/>
      <c r="I41" s="44">
        <f t="shared" si="1"/>
        <v>0</v>
      </c>
    </row>
    <row r="42" spans="1:9" s="31" customFormat="1">
      <c r="A42" s="20">
        <v>38</v>
      </c>
      <c r="B42" s="50"/>
      <c r="C42" s="20"/>
      <c r="D42" s="32"/>
      <c r="E42" s="20"/>
      <c r="F42" s="44">
        <f t="shared" si="0"/>
        <v>0</v>
      </c>
      <c r="G42" s="32"/>
      <c r="H42" s="33"/>
      <c r="I42" s="44">
        <f t="shared" si="1"/>
        <v>0</v>
      </c>
    </row>
    <row r="43" spans="1:9" s="31" customFormat="1">
      <c r="A43" s="20">
        <v>39</v>
      </c>
      <c r="B43" s="50"/>
      <c r="C43" s="20"/>
      <c r="D43" s="32"/>
      <c r="E43" s="20"/>
      <c r="F43" s="44">
        <f t="shared" si="0"/>
        <v>0</v>
      </c>
      <c r="G43" s="32"/>
      <c r="H43" s="33"/>
      <c r="I43" s="44">
        <f t="shared" si="1"/>
        <v>0</v>
      </c>
    </row>
    <row r="44" spans="1:9" s="31" customFormat="1">
      <c r="A44" s="20">
        <v>40</v>
      </c>
      <c r="B44" s="50"/>
      <c r="C44" s="20"/>
      <c r="D44" s="32"/>
      <c r="E44" s="20"/>
      <c r="F44" s="44">
        <f t="shared" si="0"/>
        <v>0</v>
      </c>
      <c r="G44" s="32"/>
      <c r="H44" s="33"/>
      <c r="I44" s="44">
        <f t="shared" si="1"/>
        <v>0</v>
      </c>
    </row>
    <row r="45" spans="1:9">
      <c r="B45" s="103" t="s">
        <v>151</v>
      </c>
    </row>
  </sheetData>
  <dataConsolidate/>
  <mergeCells count="4">
    <mergeCell ref="A1:I1"/>
    <mergeCell ref="A3:A4"/>
    <mergeCell ref="E2:F2"/>
    <mergeCell ref="H2:I2"/>
  </mergeCells>
  <conditionalFormatting sqref="E5 E7:E17">
    <cfRule type="expression" dxfId="29" priority="322">
      <formula>$E5="Oui"</formula>
    </cfRule>
    <cfRule type="expression" dxfId="28" priority="323">
      <formula>$E5="Non"</formula>
    </cfRule>
  </conditionalFormatting>
  <conditionalFormatting sqref="E18:E37">
    <cfRule type="expression" dxfId="27" priority="239">
      <formula>$E18="Oui"</formula>
    </cfRule>
    <cfRule type="expression" dxfId="26" priority="240">
      <formula>$E18="Non"</formula>
    </cfRule>
  </conditionalFormatting>
  <conditionalFormatting sqref="E38:E44">
    <cfRule type="expression" dxfId="25" priority="149">
      <formula>$E38="Oui"</formula>
    </cfRule>
    <cfRule type="expression" dxfId="24" priority="150">
      <formula>$E38="Non"</formula>
    </cfRule>
  </conditionalFormatting>
  <conditionalFormatting sqref="E6">
    <cfRule type="expression" dxfId="23" priority="3">
      <formula>$E6="Oui"</formula>
    </cfRule>
    <cfRule type="expression" dxfId="22" priority="4">
      <formula>$E6="Non"</formula>
    </cfRule>
  </conditionalFormatting>
  <conditionalFormatting sqref="B5:C44">
    <cfRule type="expression" dxfId="21" priority="398">
      <formula>#REF!="Dernier sprint"</formula>
    </cfRule>
    <cfRule type="expression" dxfId="20" priority="399">
      <formula>#REF!="Début Incrément"</formula>
    </cfRule>
  </conditionalFormatting>
  <conditionalFormatting sqref="H5:H44">
    <cfRule type="expression" dxfId="19" priority="438">
      <formula>AND($E5="Non",$H5="Non")</formula>
    </cfRule>
    <cfRule type="expression" dxfId="18" priority="440">
      <formula>AND($E5="Non",$H5="Oui")</formula>
    </cfRule>
  </conditionalFormatting>
  <dataValidations count="1">
    <dataValidation type="list" showInputMessage="1" showErrorMessage="1" sqref="E5:E44 H5:H44">
      <formula1>"Oui,Non"</formula1>
    </dataValidation>
  </dataValidation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3"/>
  <sheetViews>
    <sheetView workbookViewId="0">
      <selection activeCell="E8" sqref="E8"/>
    </sheetView>
  </sheetViews>
  <sheetFormatPr baseColWidth="10" defaultRowHeight="14.5"/>
  <cols>
    <col min="1" max="1" width="37.453125" customWidth="1"/>
    <col min="3" max="3" width="11.453125" style="41"/>
  </cols>
  <sheetData>
    <row r="1" spans="1:5" s="31" customFormat="1" ht="15.5">
      <c r="A1" s="120" t="s">
        <v>104</v>
      </c>
      <c r="B1" s="120"/>
      <c r="C1" s="120"/>
    </row>
    <row r="2" spans="1:5">
      <c r="A2" s="60" t="s">
        <v>103</v>
      </c>
      <c r="B2" s="60"/>
      <c r="C2" s="63"/>
    </row>
    <row r="3" spans="1:5">
      <c r="B3" s="61" t="s">
        <v>29</v>
      </c>
      <c r="C3" s="58">
        <v>99</v>
      </c>
    </row>
    <row r="4" spans="1:5">
      <c r="B4" s="61" t="s">
        <v>32</v>
      </c>
      <c r="C4" s="58">
        <v>150</v>
      </c>
    </row>
    <row r="5" spans="1:5">
      <c r="A5" s="38" t="s">
        <v>105</v>
      </c>
      <c r="B5" s="38"/>
      <c r="C5" s="64"/>
    </row>
    <row r="6" spans="1:5">
      <c r="B6" s="62" t="s">
        <v>29</v>
      </c>
      <c r="C6" s="58">
        <v>0</v>
      </c>
    </row>
    <row r="7" spans="1:5">
      <c r="B7" s="62" t="s">
        <v>32</v>
      </c>
      <c r="C7" s="58">
        <v>0</v>
      </c>
    </row>
    <row r="8" spans="1:5">
      <c r="A8" s="60" t="s">
        <v>106</v>
      </c>
      <c r="B8" s="60"/>
      <c r="C8" s="63"/>
    </row>
    <row r="9" spans="1:5">
      <c r="B9" s="61" t="s">
        <v>29</v>
      </c>
      <c r="C9" s="58">
        <v>1</v>
      </c>
    </row>
    <row r="10" spans="1:5">
      <c r="B10" s="61" t="s">
        <v>32</v>
      </c>
      <c r="C10" s="58">
        <v>1</v>
      </c>
    </row>
    <row r="11" spans="1:5" ht="15.5">
      <c r="A11" s="120" t="s">
        <v>112</v>
      </c>
      <c r="B11" s="120"/>
      <c r="C11" s="120"/>
    </row>
    <row r="12" spans="1:5">
      <c r="A12" s="60" t="s">
        <v>103</v>
      </c>
      <c r="B12" s="60"/>
      <c r="C12" s="63"/>
      <c r="E12" s="31"/>
    </row>
    <row r="13" spans="1:5">
      <c r="A13" s="31"/>
      <c r="B13" s="61" t="s">
        <v>29</v>
      </c>
      <c r="C13" s="68">
        <f>IF('Type de projet et squad'!E3="Oui",(Paramètres!D13*'Suivi du Périmètre'!C4)/(Paramètres!D14*'Type de projet et squad'!E17),(Paramètres!D13*'Type de projet et squad'!E21)/Paramètres!D14)</f>
        <v>2.9035532994923856</v>
      </c>
    </row>
    <row r="14" spans="1:5">
      <c r="A14" s="31"/>
      <c r="B14" s="61" t="s">
        <v>32</v>
      </c>
      <c r="C14" s="69">
        <f>IF('Type de projet et squad'!E3="Oui",(Paramètres!D15*'Suivi du Périmètre'!C4)/(Paramètres!D16*'Type de projet et squad'!E17),(Paramètres!D15*'Type de projet et squad'!E21)/Paramètres!D16)</f>
        <v>4.3553299492385786</v>
      </c>
    </row>
    <row r="15" spans="1:5" s="31" customFormat="1">
      <c r="B15" s="65" t="s">
        <v>93</v>
      </c>
      <c r="C15" s="70">
        <f>IF(C3&gt;=C13,Paramètres!C13,IF('Suivi des anomalies'!C4&gt;=C14,Paramètres!C13,0))</f>
        <v>-0.05</v>
      </c>
    </row>
    <row r="16" spans="1:5">
      <c r="A16" s="38" t="s">
        <v>105</v>
      </c>
      <c r="B16" s="38"/>
      <c r="C16" s="64"/>
    </row>
    <row r="17" spans="1:3">
      <c r="A17" s="31"/>
      <c r="B17" s="62" t="s">
        <v>29</v>
      </c>
      <c r="C17" s="69">
        <f>Paramètres!D17</f>
        <v>0</v>
      </c>
    </row>
    <row r="18" spans="1:3">
      <c r="A18" s="31"/>
      <c r="B18" s="62" t="s">
        <v>32</v>
      </c>
      <c r="C18" s="69">
        <f>IF('Type de projet et squad'!E3="Oui",'Suivi du Périmètre'!C4/(Paramètres!D18*'Type de projet et squad'!E17),'Type de projet et squad'!E21/Paramètres!D18)</f>
        <v>0.48392554991539766</v>
      </c>
    </row>
    <row r="19" spans="1:3" s="31" customFormat="1">
      <c r="B19" s="67" t="s">
        <v>93</v>
      </c>
      <c r="C19" s="70">
        <f>IF(C6&gt;C17,Paramètres!C17,IF(C7&gt;=C18,Paramètres!C17,0))</f>
        <v>0</v>
      </c>
    </row>
    <row r="20" spans="1:3">
      <c r="A20" s="60" t="s">
        <v>106</v>
      </c>
      <c r="B20" s="60"/>
      <c r="C20" s="63"/>
    </row>
    <row r="21" spans="1:3">
      <c r="A21" s="31"/>
      <c r="B21" s="61" t="s">
        <v>29</v>
      </c>
      <c r="C21" s="69">
        <f>Paramètres!D19</f>
        <v>0</v>
      </c>
    </row>
    <row r="22" spans="1:3">
      <c r="A22" s="31"/>
      <c r="B22" s="61" t="s">
        <v>32</v>
      </c>
      <c r="C22" s="69">
        <f>IF('Type de projet et squad'!E3="Oui",'Suivi du Périmètre'!C4/(Paramètres!D20*'Type de projet et squad'!E17),'Type de projet et squad'!E21/Paramètres!D20)</f>
        <v>0.29035532994923852</v>
      </c>
    </row>
    <row r="23" spans="1:3" s="31" customFormat="1">
      <c r="B23" s="65" t="s">
        <v>93</v>
      </c>
      <c r="C23" s="70">
        <f>IF(C9&gt;C21,Paramètres!C19,IF(C10&gt;=C22,Paramètres!C19,0))</f>
        <v>-0.05</v>
      </c>
    </row>
  </sheetData>
  <mergeCells count="2">
    <mergeCell ref="A1:C1"/>
    <mergeCell ref="A11:C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2"/>
  <sheetViews>
    <sheetView workbookViewId="0">
      <selection activeCell="E17" sqref="E17"/>
    </sheetView>
  </sheetViews>
  <sheetFormatPr baseColWidth="10" defaultRowHeight="14.5"/>
  <cols>
    <col min="1" max="1" width="40" customWidth="1"/>
    <col min="4" max="4" width="1.54296875" customWidth="1"/>
    <col min="5" max="5" width="54.453125" customWidth="1"/>
    <col min="8" max="8" width="22.81640625" style="31" customWidth="1"/>
    <col min="9" max="9" width="3.7265625" customWidth="1"/>
  </cols>
  <sheetData>
    <row r="1" spans="1:8" ht="18" customHeight="1">
      <c r="A1" s="127" t="s">
        <v>78</v>
      </c>
      <c r="B1" s="127"/>
      <c r="C1" s="127"/>
      <c r="D1" s="127"/>
      <c r="E1" s="127"/>
      <c r="F1" s="127"/>
      <c r="G1" s="127"/>
      <c r="H1" s="127"/>
    </row>
    <row r="2" spans="1:8">
      <c r="A2" s="30" t="s">
        <v>83</v>
      </c>
      <c r="B2" s="107">
        <f>'Suivi du Périmètre'!B4</f>
        <v>9</v>
      </c>
      <c r="C2" s="52" t="s">
        <v>82</v>
      </c>
      <c r="D2" s="31"/>
      <c r="E2" s="31"/>
      <c r="F2" s="31"/>
      <c r="G2" s="31"/>
    </row>
    <row r="3" spans="1:8">
      <c r="A3" s="51" t="s">
        <v>81</v>
      </c>
      <c r="B3" s="107">
        <f>'Suivi du Périmètre'!C4</f>
        <v>11000</v>
      </c>
      <c r="C3" s="52" t="s">
        <v>75</v>
      </c>
      <c r="D3" s="31"/>
      <c r="E3" s="31"/>
      <c r="F3" s="31"/>
      <c r="G3" s="31"/>
    </row>
    <row r="4" spans="1:8">
      <c r="A4" s="31"/>
      <c r="B4" s="31"/>
      <c r="C4" s="31"/>
      <c r="D4" s="31"/>
      <c r="E4" s="31"/>
      <c r="F4" s="31"/>
      <c r="G4" s="31"/>
    </row>
    <row r="5" spans="1:8" ht="15.5">
      <c r="A5" s="129" t="s">
        <v>79</v>
      </c>
      <c r="B5" s="129"/>
      <c r="C5" s="129"/>
      <c r="D5" s="48"/>
      <c r="E5" s="128" t="s">
        <v>80</v>
      </c>
      <c r="F5" s="128"/>
      <c r="G5" s="128"/>
      <c r="H5" s="128"/>
    </row>
    <row r="6" spans="1:8" s="31" customFormat="1" ht="18" customHeight="1">
      <c r="A6" s="127" t="s">
        <v>66</v>
      </c>
      <c r="B6" s="127"/>
      <c r="C6" s="127"/>
      <c r="D6" s="127"/>
      <c r="E6" s="127"/>
      <c r="F6" s="127"/>
      <c r="G6" s="127"/>
      <c r="H6" s="127"/>
    </row>
    <row r="7" spans="1:8">
      <c r="A7" s="35" t="s">
        <v>64</v>
      </c>
      <c r="B7" s="108">
        <f>B2-'Suivi du Périmètre'!E4</f>
        <v>4</v>
      </c>
      <c r="C7" s="53" t="s">
        <v>82</v>
      </c>
      <c r="D7" s="48"/>
    </row>
    <row r="8" spans="1:8">
      <c r="A8" s="35" t="s">
        <v>160</v>
      </c>
      <c r="B8" s="108">
        <f>B3-'Suivi du Périmètre'!F4</f>
        <v>6050</v>
      </c>
      <c r="C8" s="53" t="s">
        <v>75</v>
      </c>
      <c r="D8" s="48"/>
    </row>
    <row r="9" spans="1:8">
      <c r="A9" s="90" t="s">
        <v>159</v>
      </c>
      <c r="B9" s="109">
        <f>'Suivi du Périmètre'!F4</f>
        <v>4950</v>
      </c>
      <c r="C9" s="91" t="s">
        <v>75</v>
      </c>
      <c r="D9" s="48"/>
    </row>
    <row r="10" spans="1:8">
      <c r="A10" s="56" t="s">
        <v>91</v>
      </c>
      <c r="B10" s="57">
        <f>IF(Paramètres!D10*Synthèse!B3&gt;=B9,Paramètres!C11,IF(Paramètres!D9*Synthèse!B3&gt;=B9,Paramètres!C10,IF(Paramètres!D8*Synthèse!B3&gt;=B9,Paramètres!C9,Paramètres!C8)))</f>
        <v>-0.15</v>
      </c>
      <c r="C10" s="53" t="s">
        <v>92</v>
      </c>
      <c r="D10" s="48"/>
      <c r="F10" s="92" t="s">
        <v>161</v>
      </c>
      <c r="G10" s="92" t="s">
        <v>133</v>
      </c>
      <c r="H10" s="92" t="s">
        <v>162</v>
      </c>
    </row>
    <row r="11" spans="1:8">
      <c r="A11" s="54" t="s">
        <v>94</v>
      </c>
      <c r="B11" s="75">
        <f>B9+(B10*B3)</f>
        <v>3300</v>
      </c>
      <c r="C11" s="55" t="s">
        <v>75</v>
      </c>
      <c r="D11" s="48"/>
      <c r="E11" s="93" t="s">
        <v>136</v>
      </c>
      <c r="F11" s="95">
        <f>Paramètres!D3</f>
        <v>0.35</v>
      </c>
      <c r="G11" s="96">
        <f>B9*F11</f>
        <v>1732.5</v>
      </c>
      <c r="H11" s="106">
        <f>G11/B3</f>
        <v>0.1575</v>
      </c>
    </row>
    <row r="12" spans="1:8">
      <c r="D12" s="48"/>
    </row>
    <row r="13" spans="1:8" s="31" customFormat="1" ht="18" customHeight="1">
      <c r="A13" s="127" t="s">
        <v>95</v>
      </c>
      <c r="B13" s="127"/>
      <c r="C13" s="127"/>
      <c r="D13" s="127"/>
      <c r="E13" s="127"/>
      <c r="F13" s="127"/>
      <c r="G13" s="127"/>
      <c r="H13" s="127"/>
    </row>
    <row r="14" spans="1:8">
      <c r="A14" s="130" t="s">
        <v>96</v>
      </c>
      <c r="B14" s="130"/>
      <c r="C14" s="130"/>
      <c r="D14" s="48"/>
    </row>
    <row r="15" spans="1:8">
      <c r="A15" s="59" t="s">
        <v>69</v>
      </c>
      <c r="B15" s="107">
        <f>'Suivi du Périmètre'!H4</f>
        <v>3</v>
      </c>
      <c r="C15" s="52" t="s">
        <v>82</v>
      </c>
      <c r="D15" s="48"/>
    </row>
    <row r="16" spans="1:8">
      <c r="A16" s="59" t="s">
        <v>102</v>
      </c>
      <c r="B16" s="107">
        <f>'Suivi du Périmètre'!I4*Paramètres!C12</f>
        <v>4600</v>
      </c>
      <c r="C16" s="52" t="s">
        <v>75</v>
      </c>
      <c r="D16" s="48"/>
    </row>
    <row r="17" spans="1:9" s="31" customFormat="1">
      <c r="A17" s="131" t="s">
        <v>103</v>
      </c>
      <c r="B17" s="132"/>
      <c r="C17" s="132"/>
      <c r="D17" s="48"/>
    </row>
    <row r="18" spans="1:9" s="31" customFormat="1">
      <c r="A18" s="35" t="s">
        <v>120</v>
      </c>
      <c r="B18" s="57">
        <f>'Suivi des anomalies'!C15</f>
        <v>-0.05</v>
      </c>
      <c r="C18" s="53" t="s">
        <v>92</v>
      </c>
      <c r="D18" s="48"/>
    </row>
    <row r="19" spans="1:9" s="31" customFormat="1">
      <c r="A19" s="54" t="s">
        <v>121</v>
      </c>
      <c r="B19" s="75">
        <f>B11+B16+(B3*B18)</f>
        <v>7350</v>
      </c>
      <c r="C19" s="55" t="s">
        <v>75</v>
      </c>
      <c r="D19" s="48"/>
    </row>
    <row r="20" spans="1:9" s="31" customFormat="1">
      <c r="A20" s="131" t="s">
        <v>105</v>
      </c>
      <c r="B20" s="132"/>
      <c r="C20" s="132"/>
      <c r="D20" s="48"/>
    </row>
    <row r="21" spans="1:9" s="31" customFormat="1">
      <c r="A21" s="35" t="s">
        <v>122</v>
      </c>
      <c r="B21" s="57">
        <f>'Suivi des anomalies'!C19</f>
        <v>0</v>
      </c>
      <c r="C21" s="53" t="s">
        <v>92</v>
      </c>
      <c r="D21" s="48"/>
      <c r="F21" s="92" t="s">
        <v>161</v>
      </c>
      <c r="G21" s="92" t="s">
        <v>133</v>
      </c>
      <c r="H21" s="92" t="s">
        <v>162</v>
      </c>
    </row>
    <row r="22" spans="1:9">
      <c r="A22" s="54" t="s">
        <v>123</v>
      </c>
      <c r="B22" s="75">
        <f>B19+(B3*B21)</f>
        <v>7350</v>
      </c>
      <c r="C22" s="55" t="s">
        <v>75</v>
      </c>
      <c r="D22" s="48"/>
      <c r="E22" s="93" t="s">
        <v>165</v>
      </c>
      <c r="F22" s="95">
        <f>Paramètres!D4</f>
        <v>0.35</v>
      </c>
      <c r="G22" s="96">
        <f>B22*F22</f>
        <v>2572.5</v>
      </c>
      <c r="H22" s="106">
        <f>G22/B3</f>
        <v>0.23386363636363636</v>
      </c>
    </row>
    <row r="23" spans="1:9">
      <c r="D23" s="48"/>
    </row>
    <row r="24" spans="1:9" s="31" customFormat="1" ht="18" customHeight="1">
      <c r="A24" s="127" t="s">
        <v>124</v>
      </c>
      <c r="B24" s="127"/>
      <c r="C24" s="127"/>
      <c r="D24" s="127"/>
      <c r="E24" s="127"/>
      <c r="F24" s="127"/>
      <c r="G24" s="127"/>
      <c r="H24" s="127"/>
    </row>
    <row r="25" spans="1:9">
      <c r="A25" s="131" t="s">
        <v>125</v>
      </c>
      <c r="B25" s="132"/>
      <c r="C25" s="132"/>
      <c r="D25" s="48"/>
    </row>
    <row r="26" spans="1:9">
      <c r="A26" s="35" t="s">
        <v>126</v>
      </c>
      <c r="B26" s="57">
        <f>'Suivi des anomalies'!C23</f>
        <v>-0.05</v>
      </c>
      <c r="C26" s="53" t="s">
        <v>92</v>
      </c>
      <c r="D26" s="48"/>
    </row>
    <row r="27" spans="1:9" s="31" customFormat="1">
      <c r="A27" s="54" t="s">
        <v>130</v>
      </c>
      <c r="B27" s="75">
        <f>B22+(B3*B26)</f>
        <v>6800</v>
      </c>
      <c r="C27" s="55" t="s">
        <v>75</v>
      </c>
      <c r="D27" s="48"/>
    </row>
    <row r="28" spans="1:9" s="31" customFormat="1">
      <c r="A28" s="130" t="s">
        <v>129</v>
      </c>
      <c r="B28" s="130"/>
      <c r="C28" s="130"/>
      <c r="D28" s="48"/>
    </row>
    <row r="29" spans="1:9" s="31" customFormat="1">
      <c r="A29" s="59" t="s">
        <v>132</v>
      </c>
      <c r="B29" s="88">
        <f>IF((B10+B18+B21+B26)=Paramètres!D21,Paramètres!C21,0)</f>
        <v>0</v>
      </c>
      <c r="C29" s="52" t="s">
        <v>92</v>
      </c>
      <c r="D29" s="48"/>
      <c r="F29" s="92" t="s">
        <v>161</v>
      </c>
      <c r="G29" s="92" t="s">
        <v>133</v>
      </c>
      <c r="H29" s="92" t="s">
        <v>162</v>
      </c>
      <c r="I29" s="97"/>
    </row>
    <row r="30" spans="1:9">
      <c r="A30" s="54" t="s">
        <v>131</v>
      </c>
      <c r="B30" s="75">
        <f>B27+(B3*B29)</f>
        <v>6800</v>
      </c>
      <c r="C30" s="55" t="s">
        <v>75</v>
      </c>
      <c r="D30" s="48"/>
      <c r="E30" s="93" t="s">
        <v>135</v>
      </c>
      <c r="F30" s="95">
        <f>Paramètres!D5</f>
        <v>1</v>
      </c>
      <c r="G30" s="96">
        <f>B30*F30-G22-G11</f>
        <v>2495</v>
      </c>
      <c r="H30" s="106">
        <f>G30/B3</f>
        <v>0.22681818181818181</v>
      </c>
    </row>
    <row r="31" spans="1:9">
      <c r="D31" s="34"/>
    </row>
    <row r="32" spans="1:9">
      <c r="D32" s="34"/>
    </row>
    <row r="33" spans="4:4">
      <c r="D33" s="34"/>
    </row>
    <row r="34" spans="4:4">
      <c r="D34" s="34"/>
    </row>
    <row r="35" spans="4:4">
      <c r="D35" s="34"/>
    </row>
    <row r="36" spans="4:4">
      <c r="D36" s="34"/>
    </row>
    <row r="37" spans="4:4">
      <c r="D37" s="34"/>
    </row>
    <row r="38" spans="4:4">
      <c r="D38" s="34"/>
    </row>
    <row r="39" spans="4:4">
      <c r="D39" s="34"/>
    </row>
    <row r="40" spans="4:4">
      <c r="D40" s="34"/>
    </row>
    <row r="41" spans="4:4">
      <c r="D41" s="34"/>
    </row>
    <row r="42" spans="4:4">
      <c r="D42" s="34"/>
    </row>
  </sheetData>
  <sheetProtection algorithmName="SHA-512" hashValue="bNih26ARXvgg0ilC98JULABHdphd+3Wb5yutjki52AulMf06qGu6WtbtY5iJmzL99zvXmsb2Jf8IT1tScA0E7w==" saltValue="Bbdi3Lkq3M/JtmFPE3aOgQ==" spinCount="100000" sheet="1" formatCells="0" formatColumns="0" formatRows="0" insertColumns="0" insertRows="0" insertHyperlinks="0" deleteColumns="0" deleteRows="0" sort="0" autoFilter="0" pivotTables="0"/>
  <mergeCells count="11">
    <mergeCell ref="A28:C28"/>
    <mergeCell ref="A14:C14"/>
    <mergeCell ref="A17:C17"/>
    <mergeCell ref="A20:C20"/>
    <mergeCell ref="A25:C25"/>
    <mergeCell ref="A1:H1"/>
    <mergeCell ref="E5:H5"/>
    <mergeCell ref="A6:H6"/>
    <mergeCell ref="A13:H13"/>
    <mergeCell ref="A24:H24"/>
    <mergeCell ref="A5:C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E21"/>
  <sheetViews>
    <sheetView workbookViewId="0">
      <selection activeCell="G7" sqref="G7"/>
    </sheetView>
  </sheetViews>
  <sheetFormatPr baseColWidth="10" defaultRowHeight="14.5"/>
  <cols>
    <col min="1" max="1" width="1.54296875" customWidth="1"/>
    <col min="3" max="3" width="29.26953125" customWidth="1"/>
    <col min="4" max="4" width="11.81640625" customWidth="1"/>
    <col min="5" max="5" width="25.453125" customWidth="1"/>
  </cols>
  <sheetData>
    <row r="2" spans="2:5">
      <c r="B2" s="140" t="s">
        <v>65</v>
      </c>
      <c r="C2" s="141"/>
      <c r="D2" s="53" t="s">
        <v>48</v>
      </c>
      <c r="E2" s="53" t="s">
        <v>49</v>
      </c>
    </row>
    <row r="3" spans="2:5">
      <c r="B3" s="142" t="s">
        <v>66</v>
      </c>
      <c r="C3" s="142"/>
      <c r="D3" s="94">
        <v>0.35</v>
      </c>
      <c r="E3" s="33" t="s">
        <v>84</v>
      </c>
    </row>
    <row r="4" spans="2:5">
      <c r="B4" s="142" t="s">
        <v>67</v>
      </c>
      <c r="C4" s="142"/>
      <c r="D4" s="94">
        <v>0.35</v>
      </c>
      <c r="E4" s="33" t="s">
        <v>85</v>
      </c>
    </row>
    <row r="5" spans="2:5">
      <c r="B5" s="142" t="s">
        <v>68</v>
      </c>
      <c r="C5" s="142"/>
      <c r="D5" s="94">
        <v>1</v>
      </c>
      <c r="E5" s="33" t="s">
        <v>86</v>
      </c>
    </row>
    <row r="7" spans="2:5" s="31" customFormat="1" ht="20">
      <c r="B7" s="53" t="s">
        <v>47</v>
      </c>
      <c r="C7" s="53" t="s">
        <v>92</v>
      </c>
      <c r="D7" s="53" t="s">
        <v>87</v>
      </c>
      <c r="E7" s="53" t="s">
        <v>99</v>
      </c>
    </row>
    <row r="8" spans="2:5" ht="22.5" customHeight="1">
      <c r="B8" s="133" t="s">
        <v>97</v>
      </c>
      <c r="C8" s="78">
        <v>0</v>
      </c>
      <c r="D8" s="79">
        <v>0.9</v>
      </c>
      <c r="E8" s="80" t="s">
        <v>100</v>
      </c>
    </row>
    <row r="9" spans="2:5">
      <c r="B9" s="134"/>
      <c r="C9" s="78">
        <v>-0.05</v>
      </c>
      <c r="D9" s="79">
        <v>0.8</v>
      </c>
      <c r="E9" s="80" t="s">
        <v>88</v>
      </c>
    </row>
    <row r="10" spans="2:5">
      <c r="B10" s="134"/>
      <c r="C10" s="78">
        <v>-0.1</v>
      </c>
      <c r="D10" s="79">
        <v>0.7</v>
      </c>
      <c r="E10" s="80" t="s">
        <v>89</v>
      </c>
    </row>
    <row r="11" spans="2:5">
      <c r="B11" s="135"/>
      <c r="C11" s="78">
        <v>-0.15</v>
      </c>
      <c r="D11" s="79">
        <v>0.7</v>
      </c>
      <c r="E11" s="80" t="s">
        <v>90</v>
      </c>
    </row>
    <row r="12" spans="2:5" s="31" customFormat="1" ht="30">
      <c r="B12" s="81" t="s">
        <v>98</v>
      </c>
      <c r="C12" s="82">
        <v>0.8</v>
      </c>
      <c r="D12" s="83"/>
      <c r="E12" s="84"/>
    </row>
    <row r="13" spans="2:5" ht="57" customHeight="1">
      <c r="B13" s="143" t="s">
        <v>103</v>
      </c>
      <c r="C13" s="148">
        <v>-0.05</v>
      </c>
      <c r="D13" s="76">
        <v>2</v>
      </c>
      <c r="E13" s="145" t="s">
        <v>111</v>
      </c>
    </row>
    <row r="14" spans="2:5" s="31" customFormat="1">
      <c r="B14" s="147"/>
      <c r="C14" s="149"/>
      <c r="D14" s="76">
        <v>100</v>
      </c>
      <c r="E14" s="146"/>
    </row>
    <row r="15" spans="2:5" s="31" customFormat="1" ht="45.75" customHeight="1">
      <c r="B15" s="147"/>
      <c r="C15" s="149"/>
      <c r="D15" s="76">
        <v>3</v>
      </c>
      <c r="E15" s="145" t="s">
        <v>116</v>
      </c>
    </row>
    <row r="16" spans="2:5" s="31" customFormat="1">
      <c r="B16" s="144"/>
      <c r="C16" s="150"/>
      <c r="D16" s="76">
        <v>100</v>
      </c>
      <c r="E16" s="146"/>
    </row>
    <row r="17" spans="2:5" s="31" customFormat="1" ht="33.75" customHeight="1">
      <c r="B17" s="136" t="s">
        <v>114</v>
      </c>
      <c r="C17" s="151">
        <v>-0.05</v>
      </c>
      <c r="D17" s="72">
        <v>0</v>
      </c>
      <c r="E17" s="73" t="s">
        <v>115</v>
      </c>
    </row>
    <row r="18" spans="2:5" s="31" customFormat="1" ht="40">
      <c r="B18" s="137"/>
      <c r="C18" s="152"/>
      <c r="D18" s="72">
        <v>300</v>
      </c>
      <c r="E18" s="74" t="s">
        <v>117</v>
      </c>
    </row>
    <row r="19" spans="2:5" ht="15" customHeight="1">
      <c r="B19" s="143" t="s">
        <v>118</v>
      </c>
      <c r="C19" s="138">
        <v>-0.05</v>
      </c>
      <c r="D19" s="76">
        <v>0</v>
      </c>
      <c r="E19" s="71" t="s">
        <v>115</v>
      </c>
    </row>
    <row r="20" spans="2:5" ht="40">
      <c r="B20" s="144"/>
      <c r="C20" s="139"/>
      <c r="D20" s="76">
        <v>500</v>
      </c>
      <c r="E20" s="77" t="s">
        <v>119</v>
      </c>
    </row>
    <row r="21" spans="2:5" ht="39.75" customHeight="1">
      <c r="B21" s="86" t="s">
        <v>127</v>
      </c>
      <c r="C21" s="85">
        <v>0.05</v>
      </c>
      <c r="D21" s="89">
        <v>0</v>
      </c>
      <c r="E21" s="87" t="s">
        <v>128</v>
      </c>
    </row>
  </sheetData>
  <sheetProtection algorithmName="SHA-512" hashValue="qzEAjMu0yeglZvJYe1sv61d6dKAUhiAIp7G/NvbGij6+UQSlPXtjATHDvtr9GGH849uRw/chj3xvUPFGtse5OA==" saltValue="XJ3qX1Fep8vgWDcfi3Vjrg==" spinCount="100000" sheet="1" formatCells="0" formatColumns="0" formatRows="0" insertColumns="0" insertRows="0" insertHyperlinks="0" deleteColumns="0" deleteRows="0" sort="0" autoFilter="0" pivotTables="0"/>
  <mergeCells count="13">
    <mergeCell ref="E13:E14"/>
    <mergeCell ref="B13:B16"/>
    <mergeCell ref="C13:C16"/>
    <mergeCell ref="E15:E16"/>
    <mergeCell ref="C17:C18"/>
    <mergeCell ref="B8:B11"/>
    <mergeCell ref="B17:B18"/>
    <mergeCell ref="C19:C20"/>
    <mergeCell ref="B2:C2"/>
    <mergeCell ref="B3:C3"/>
    <mergeCell ref="B4:C4"/>
    <mergeCell ref="B5:C5"/>
    <mergeCell ref="B19:B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workbookViewId="0">
      <selection activeCell="D35" sqref="D35"/>
    </sheetView>
  </sheetViews>
  <sheetFormatPr baseColWidth="10" defaultRowHeight="14.5"/>
  <cols>
    <col min="1" max="1" width="24" customWidth="1"/>
    <col min="2" max="2" width="15.54296875" customWidth="1"/>
    <col min="3" max="3" width="17.26953125" customWidth="1"/>
    <col min="5" max="6" width="8.26953125" customWidth="1"/>
    <col min="7" max="8" width="13.81640625" bestFit="1" customWidth="1"/>
  </cols>
  <sheetData>
    <row r="2" spans="1:3" s="19" customFormat="1" ht="28" customHeight="1">
      <c r="A2" s="153" t="s">
        <v>44</v>
      </c>
      <c r="B2" s="153"/>
      <c r="C2" s="153"/>
    </row>
    <row r="4" spans="1:3" ht="30.5">
      <c r="A4" s="7" t="s">
        <v>37</v>
      </c>
      <c r="B4" s="8" t="s">
        <v>21</v>
      </c>
      <c r="C4" s="10" t="s">
        <v>43</v>
      </c>
    </row>
    <row r="5" spans="1:3" ht="15" customHeight="1">
      <c r="A5" s="17" t="s">
        <v>39</v>
      </c>
      <c r="B5" s="11" t="e">
        <f>'Suivi du Périmètre'!#REF!</f>
        <v>#REF!</v>
      </c>
      <c r="C5" s="11" t="e">
        <f>'Suivi du Périmètre'!#REF!</f>
        <v>#REF!</v>
      </c>
    </row>
    <row r="6" spans="1:3">
      <c r="A6" s="18" t="s">
        <v>38</v>
      </c>
      <c r="B6" s="11" t="e">
        <f>'Demande de corrections du cycle'!H4</f>
        <v>#REF!</v>
      </c>
      <c r="C6" s="11" t="e">
        <f>'Demande de corrections du cycle'!H5</f>
        <v>#REF!</v>
      </c>
    </row>
    <row r="7" spans="1:3" ht="5.15" customHeight="1">
      <c r="A7" s="1"/>
      <c r="B7" s="1"/>
      <c r="C7" s="1"/>
    </row>
    <row r="8" spans="1:3">
      <c r="A8" s="4" t="s">
        <v>27</v>
      </c>
      <c r="B8" s="2" t="e">
        <f>B5+B6</f>
        <v>#REF!</v>
      </c>
      <c r="C8" s="2" t="e">
        <f>C5+C6</f>
        <v>#REF!</v>
      </c>
    </row>
    <row r="9" spans="1:3" ht="5.15" customHeight="1">
      <c r="A9" s="1"/>
      <c r="B9" s="1"/>
      <c r="C9" s="1"/>
    </row>
    <row r="10" spans="1:3">
      <c r="A10" s="4" t="s">
        <v>28</v>
      </c>
      <c r="B10" s="3" t="e">
        <f>C8/B8</f>
        <v>#REF!</v>
      </c>
    </row>
  </sheetData>
  <mergeCells count="1">
    <mergeCell ref="A2:C2"/>
  </mergeCells>
  <conditionalFormatting sqref="C5:C6">
    <cfRule type="expression" dxfId="17" priority="57">
      <formula>#REF!&lt;0</formula>
    </cfRule>
    <cfRule type="expression" dxfId="16" priority="58">
      <formula>#REF!=0</formula>
    </cfRule>
  </conditionalFormatting>
  <conditionalFormatting sqref="B5:B6">
    <cfRule type="expression" dxfId="15" priority="1">
      <formula>#REF!&lt;0</formula>
    </cfRule>
    <cfRule type="expression" dxfId="14" priority="2">
      <formula>#REF!=0</formula>
    </cfRule>
  </conditionalFormatting>
  <dataValidations disablePrompts="1" count="1">
    <dataValidation showInputMessage="1" showErrorMessage="1" sqref="C5:C6"/>
  </dataValidations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workbookViewId="0">
      <pane xSplit="5" ySplit="8" topLeftCell="F9" activePane="bottomRight" state="frozen"/>
      <selection pane="topRight" activeCell="G1" sqref="G1"/>
      <selection pane="bottomLeft" activeCell="A8" sqref="A8"/>
      <selection pane="bottomRight" activeCell="R15" sqref="R15"/>
    </sheetView>
  </sheetViews>
  <sheetFormatPr baseColWidth="10" defaultRowHeight="14.5"/>
  <cols>
    <col min="1" max="1" width="5" customWidth="1"/>
    <col min="2" max="2" width="17.81640625" customWidth="1"/>
    <col min="3" max="3" width="9.81640625" customWidth="1"/>
    <col min="4" max="4" width="8.54296875" hidden="1" customWidth="1"/>
    <col min="5" max="5" width="1.7265625" customWidth="1"/>
    <col min="6" max="13" width="8.7265625" customWidth="1"/>
    <col min="14" max="14" width="8.7265625" hidden="1" customWidth="1"/>
    <col min="15" max="15" width="8.7265625" customWidth="1"/>
  </cols>
  <sheetData>
    <row r="2" spans="1:15" ht="17.5">
      <c r="A2" s="156" t="s">
        <v>45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4" spans="1:15" ht="15" customHeight="1">
      <c r="B4" s="5" t="s">
        <v>31</v>
      </c>
      <c r="C4" s="16">
        <v>45</v>
      </c>
      <c r="F4" s="157" t="s">
        <v>41</v>
      </c>
      <c r="G4" s="157"/>
      <c r="H4" s="2" t="e">
        <f>C4/30*C6</f>
        <v>#REF!</v>
      </c>
    </row>
    <row r="5" spans="1:15">
      <c r="B5" s="5" t="s">
        <v>40</v>
      </c>
      <c r="C5" s="2">
        <f>MAX(A:A)</f>
        <v>12</v>
      </c>
      <c r="F5" s="157" t="s">
        <v>42</v>
      </c>
      <c r="G5" s="157"/>
      <c r="H5" s="2" t="e">
        <f>SUM(O:O)</f>
        <v>#REF!</v>
      </c>
    </row>
    <row r="6" spans="1:15">
      <c r="B6" s="5" t="s">
        <v>30</v>
      </c>
      <c r="C6" s="2" t="e">
        <f>#REF!</f>
        <v>#REF!</v>
      </c>
    </row>
    <row r="7" spans="1:15" ht="57" customHeight="1">
      <c r="A7" s="158" t="s">
        <v>0</v>
      </c>
      <c r="B7" s="158" t="s">
        <v>5</v>
      </c>
      <c r="C7" s="158" t="s">
        <v>6</v>
      </c>
      <c r="D7" s="160" t="s">
        <v>21</v>
      </c>
      <c r="E7" s="1"/>
      <c r="F7" s="162" t="s">
        <v>22</v>
      </c>
      <c r="G7" s="162"/>
      <c r="H7" s="162" t="s">
        <v>24</v>
      </c>
      <c r="I7" s="162"/>
      <c r="J7" s="162" t="s">
        <v>25</v>
      </c>
      <c r="K7" s="162"/>
      <c r="L7" s="162" t="s">
        <v>26</v>
      </c>
      <c r="M7" s="162"/>
      <c r="N7" s="162" t="s">
        <v>8</v>
      </c>
      <c r="O7" s="162" t="s">
        <v>20</v>
      </c>
    </row>
    <row r="8" spans="1:15" ht="47.25" customHeight="1">
      <c r="A8" s="159"/>
      <c r="B8" s="159"/>
      <c r="C8" s="159"/>
      <c r="D8" s="161"/>
      <c r="E8" s="1"/>
      <c r="F8" s="154" t="s">
        <v>23</v>
      </c>
      <c r="G8" s="154"/>
      <c r="H8" s="155" t="s">
        <v>34</v>
      </c>
      <c r="I8" s="155"/>
      <c r="J8" s="154" t="s">
        <v>35</v>
      </c>
      <c r="K8" s="154"/>
      <c r="L8" s="154" t="s">
        <v>36</v>
      </c>
      <c r="M8" s="154"/>
      <c r="N8" s="162"/>
      <c r="O8" s="162"/>
    </row>
    <row r="9" spans="1:15" ht="15" customHeight="1">
      <c r="A9" s="14">
        <v>1</v>
      </c>
      <c r="B9" s="14" t="s">
        <v>9</v>
      </c>
      <c r="C9" s="14" t="s">
        <v>29</v>
      </c>
      <c r="D9" s="14" t="e">
        <f>$H$4/$C$5</f>
        <v>#REF!</v>
      </c>
      <c r="E9" s="1"/>
      <c r="F9" s="11" t="s">
        <v>1</v>
      </c>
      <c r="G9" s="12">
        <f>IF(F9="Non",-1,0)</f>
        <v>0</v>
      </c>
      <c r="H9" s="11" t="s">
        <v>1</v>
      </c>
      <c r="I9" s="12">
        <f t="shared" ref="I9:I20" si="0">IF(F9="Oui",0,IF(H9="Oui",
       IF(C9="Bloquante",0.9,
       IF(C9="Majeure",0.75,
       IF(C9="Mineure",0.3,0))),0
))</f>
        <v>0</v>
      </c>
      <c r="J9" s="11" t="s">
        <v>3</v>
      </c>
      <c r="K9" s="12">
        <f>IF(AND(F9="Non",H9="Non"), 0,
       IF(J9="Ko",
       IF(C9="Bloquante",-0.5,
       IF(C9="Majeure",-0.25,
       IF(C9="Mineure",-0.1,0))),0))</f>
        <v>0</v>
      </c>
      <c r="L9" s="9">
        <v>1</v>
      </c>
      <c r="M9" s="12">
        <f>IF(J9="Ok",0,-L9*
       IF(C9="Bloquante",-0.5,
       IF(C9="Majeure",-0.25,
       IF(C9="Mineure",-0.1,0))))</f>
        <v>0</v>
      </c>
      <c r="N9" s="13">
        <f>G9+I9+K9+M9</f>
        <v>0</v>
      </c>
      <c r="O9" s="11" t="e">
        <f t="shared" ref="O9:O20" si="1">(1+N9)*D9</f>
        <v>#REF!</v>
      </c>
    </row>
    <row r="10" spans="1:15">
      <c r="A10" s="14">
        <v>2</v>
      </c>
      <c r="B10" s="14" t="s">
        <v>10</v>
      </c>
      <c r="C10" s="14" t="s">
        <v>29</v>
      </c>
      <c r="D10" s="14" t="e">
        <f t="shared" ref="D10:D20" si="2">$H$4/$C$5</f>
        <v>#REF!</v>
      </c>
      <c r="E10" s="1"/>
      <c r="F10" s="11" t="s">
        <v>1</v>
      </c>
      <c r="G10" s="12">
        <f t="shared" ref="G10:G20" si="3">IF(F10="Non",-1,0)</f>
        <v>0</v>
      </c>
      <c r="H10" s="11" t="s">
        <v>2</v>
      </c>
      <c r="I10" s="12">
        <f t="shared" si="0"/>
        <v>0</v>
      </c>
      <c r="J10" s="11" t="s">
        <v>4</v>
      </c>
      <c r="K10" s="12">
        <f t="shared" ref="K10:K20" si="4">IF(AND(F10="Non",H10="Non"), 0,
       IF(J10="Ko",
       IF(C10="Bloquante",-0.5,
       IF(C10="Majeure",-0.25,
       IF(C10="Mineure",-0.1,0))),0))</f>
        <v>-0.5</v>
      </c>
      <c r="L10" s="9">
        <v>0</v>
      </c>
      <c r="M10" s="12">
        <f t="shared" ref="M10:M20" si="5">IF(J10="Ok",0,-L10*
       IF(C10="Bloquante",-0.5,
       IF(C10="Majeure",-0.25,
       IF(C10="Mineure",-0.1,0))))</f>
        <v>0</v>
      </c>
      <c r="N10" s="13">
        <f t="shared" ref="N10:N20" si="6">G10+I10+K10+M10</f>
        <v>-0.5</v>
      </c>
      <c r="O10" s="11" t="e">
        <f t="shared" si="1"/>
        <v>#REF!</v>
      </c>
    </row>
    <row r="11" spans="1:15">
      <c r="A11" s="14">
        <v>3</v>
      </c>
      <c r="B11" s="14" t="s">
        <v>11</v>
      </c>
      <c r="C11" s="14" t="s">
        <v>29</v>
      </c>
      <c r="D11" s="14" t="e">
        <f t="shared" si="2"/>
        <v>#REF!</v>
      </c>
      <c r="E11" s="1"/>
      <c r="F11" s="11" t="s">
        <v>2</v>
      </c>
      <c r="G11" s="12">
        <f t="shared" si="3"/>
        <v>-1</v>
      </c>
      <c r="H11" s="11" t="s">
        <v>1</v>
      </c>
      <c r="I11" s="12">
        <f t="shared" si="0"/>
        <v>0.9</v>
      </c>
      <c r="J11" s="11" t="s">
        <v>3</v>
      </c>
      <c r="K11" s="12">
        <f t="shared" si="4"/>
        <v>0</v>
      </c>
      <c r="L11" s="9">
        <v>0</v>
      </c>
      <c r="M11" s="12">
        <f t="shared" si="5"/>
        <v>0</v>
      </c>
      <c r="N11" s="13">
        <f t="shared" si="6"/>
        <v>-9.9999999999999978E-2</v>
      </c>
      <c r="O11" s="11" t="e">
        <f t="shared" si="1"/>
        <v>#REF!</v>
      </c>
    </row>
    <row r="12" spans="1:15">
      <c r="A12" s="14">
        <v>4</v>
      </c>
      <c r="B12" s="14" t="s">
        <v>12</v>
      </c>
      <c r="C12" s="14" t="s">
        <v>29</v>
      </c>
      <c r="D12" s="14" t="e">
        <f t="shared" si="2"/>
        <v>#REF!</v>
      </c>
      <c r="E12" s="1"/>
      <c r="F12" s="11" t="s">
        <v>2</v>
      </c>
      <c r="G12" s="12">
        <f t="shared" si="3"/>
        <v>-1</v>
      </c>
      <c r="H12" s="11" t="s">
        <v>1</v>
      </c>
      <c r="I12" s="12">
        <f t="shared" si="0"/>
        <v>0.9</v>
      </c>
      <c r="J12" s="11" t="s">
        <v>4</v>
      </c>
      <c r="K12" s="12">
        <f t="shared" si="4"/>
        <v>-0.5</v>
      </c>
      <c r="L12" s="9">
        <v>0</v>
      </c>
      <c r="M12" s="12">
        <f t="shared" si="5"/>
        <v>0</v>
      </c>
      <c r="N12" s="13">
        <f t="shared" si="6"/>
        <v>-0.6</v>
      </c>
      <c r="O12" s="11" t="e">
        <f t="shared" si="1"/>
        <v>#REF!</v>
      </c>
    </row>
    <row r="13" spans="1:15">
      <c r="A13" s="6">
        <v>5</v>
      </c>
      <c r="B13" s="6" t="s">
        <v>7</v>
      </c>
      <c r="C13" s="6" t="s">
        <v>32</v>
      </c>
      <c r="D13" s="14" t="e">
        <f t="shared" si="2"/>
        <v>#REF!</v>
      </c>
      <c r="E13" s="1"/>
      <c r="F13" s="11" t="s">
        <v>2</v>
      </c>
      <c r="G13" s="12">
        <f t="shared" si="3"/>
        <v>-1</v>
      </c>
      <c r="H13" s="11" t="s">
        <v>2</v>
      </c>
      <c r="I13" s="12">
        <f>IF(F13="Oui",0,IF(H13="Oui",
       IF(C13="Bloquante",0.9,
       IF(C13="Majeure",0.75,
       IF(C13="Mineure",0.3,0))),0
))</f>
        <v>0</v>
      </c>
      <c r="J13" s="11" t="s">
        <v>4</v>
      </c>
      <c r="K13" s="12">
        <f t="shared" si="4"/>
        <v>0</v>
      </c>
      <c r="L13" s="9">
        <v>1</v>
      </c>
      <c r="M13" s="12">
        <f t="shared" si="5"/>
        <v>0.25</v>
      </c>
      <c r="N13" s="13">
        <f t="shared" si="6"/>
        <v>-0.75</v>
      </c>
      <c r="O13" s="11" t="e">
        <f t="shared" si="1"/>
        <v>#REF!</v>
      </c>
    </row>
    <row r="14" spans="1:15">
      <c r="A14" s="6">
        <v>6</v>
      </c>
      <c r="B14" s="6" t="s">
        <v>13</v>
      </c>
      <c r="C14" s="6" t="s">
        <v>32</v>
      </c>
      <c r="D14" s="14" t="e">
        <f t="shared" si="2"/>
        <v>#REF!</v>
      </c>
      <c r="E14" s="1"/>
      <c r="F14" s="11" t="s">
        <v>1</v>
      </c>
      <c r="G14" s="12">
        <f t="shared" si="3"/>
        <v>0</v>
      </c>
      <c r="H14" s="11" t="s">
        <v>2</v>
      </c>
      <c r="I14" s="12">
        <f t="shared" si="0"/>
        <v>0</v>
      </c>
      <c r="J14" s="11" t="s">
        <v>3</v>
      </c>
      <c r="K14" s="12">
        <f t="shared" si="4"/>
        <v>0</v>
      </c>
      <c r="L14" s="9">
        <v>0</v>
      </c>
      <c r="M14" s="12">
        <f t="shared" si="5"/>
        <v>0</v>
      </c>
      <c r="N14" s="13">
        <f t="shared" si="6"/>
        <v>0</v>
      </c>
      <c r="O14" s="11" t="e">
        <f t="shared" si="1"/>
        <v>#REF!</v>
      </c>
    </row>
    <row r="15" spans="1:15">
      <c r="A15" s="6">
        <v>7</v>
      </c>
      <c r="B15" s="6" t="s">
        <v>14</v>
      </c>
      <c r="C15" s="6" t="s">
        <v>32</v>
      </c>
      <c r="D15" s="14" t="e">
        <f t="shared" si="2"/>
        <v>#REF!</v>
      </c>
      <c r="E15" s="1"/>
      <c r="F15" s="11" t="s">
        <v>1</v>
      </c>
      <c r="G15" s="12">
        <f t="shared" si="3"/>
        <v>0</v>
      </c>
      <c r="H15" s="11"/>
      <c r="I15" s="12">
        <f t="shared" si="0"/>
        <v>0</v>
      </c>
      <c r="J15" s="11" t="s">
        <v>4</v>
      </c>
      <c r="K15" s="12">
        <f t="shared" si="4"/>
        <v>-0.25</v>
      </c>
      <c r="L15" s="9">
        <v>2</v>
      </c>
      <c r="M15" s="12">
        <f t="shared" si="5"/>
        <v>0.5</v>
      </c>
      <c r="N15" s="13">
        <f t="shared" si="6"/>
        <v>0.25</v>
      </c>
      <c r="O15" s="11" t="e">
        <f t="shared" si="1"/>
        <v>#REF!</v>
      </c>
    </row>
    <row r="16" spans="1:15">
      <c r="A16" s="6">
        <v>8</v>
      </c>
      <c r="B16" s="6" t="s">
        <v>15</v>
      </c>
      <c r="C16" s="6" t="s">
        <v>32</v>
      </c>
      <c r="D16" s="14" t="e">
        <f t="shared" si="2"/>
        <v>#REF!</v>
      </c>
      <c r="E16" s="1"/>
      <c r="F16" s="11" t="s">
        <v>2</v>
      </c>
      <c r="G16" s="12">
        <f t="shared" si="3"/>
        <v>-1</v>
      </c>
      <c r="H16" s="11" t="s">
        <v>1</v>
      </c>
      <c r="I16" s="12">
        <f t="shared" si="0"/>
        <v>0.75</v>
      </c>
      <c r="J16" s="11" t="s">
        <v>3</v>
      </c>
      <c r="K16" s="12">
        <f t="shared" si="4"/>
        <v>0</v>
      </c>
      <c r="L16" s="9">
        <v>1</v>
      </c>
      <c r="M16" s="12">
        <f t="shared" si="5"/>
        <v>0</v>
      </c>
      <c r="N16" s="13">
        <f t="shared" si="6"/>
        <v>-0.25</v>
      </c>
      <c r="O16" s="11" t="e">
        <f t="shared" si="1"/>
        <v>#REF!</v>
      </c>
    </row>
    <row r="17" spans="1:15">
      <c r="A17" s="15">
        <v>9</v>
      </c>
      <c r="B17" s="15" t="s">
        <v>16</v>
      </c>
      <c r="C17" s="15" t="s">
        <v>33</v>
      </c>
      <c r="D17" s="14" t="e">
        <f t="shared" si="2"/>
        <v>#REF!</v>
      </c>
      <c r="E17" s="1"/>
      <c r="F17" s="11" t="s">
        <v>1</v>
      </c>
      <c r="G17" s="12">
        <f t="shared" si="3"/>
        <v>0</v>
      </c>
      <c r="H17" s="11"/>
      <c r="I17" s="12">
        <f t="shared" si="0"/>
        <v>0</v>
      </c>
      <c r="J17" s="11" t="s">
        <v>4</v>
      </c>
      <c r="K17" s="12">
        <f t="shared" si="4"/>
        <v>-0.1</v>
      </c>
      <c r="L17" s="9">
        <v>3</v>
      </c>
      <c r="M17" s="12">
        <f t="shared" si="5"/>
        <v>0.30000000000000004</v>
      </c>
      <c r="N17" s="13">
        <f t="shared" si="6"/>
        <v>0.20000000000000004</v>
      </c>
      <c r="O17" s="11" t="e">
        <f t="shared" si="1"/>
        <v>#REF!</v>
      </c>
    </row>
    <row r="18" spans="1:15">
      <c r="A18" s="15">
        <v>10</v>
      </c>
      <c r="B18" s="15" t="s">
        <v>17</v>
      </c>
      <c r="C18" s="15" t="s">
        <v>33</v>
      </c>
      <c r="D18" s="14" t="e">
        <f t="shared" si="2"/>
        <v>#REF!</v>
      </c>
      <c r="E18" s="1"/>
      <c r="F18" s="11" t="s">
        <v>2</v>
      </c>
      <c r="G18" s="12">
        <f t="shared" si="3"/>
        <v>-1</v>
      </c>
      <c r="H18" s="11" t="s">
        <v>1</v>
      </c>
      <c r="I18" s="12">
        <f t="shared" si="0"/>
        <v>0.3</v>
      </c>
      <c r="J18" s="11" t="s">
        <v>3</v>
      </c>
      <c r="K18" s="12">
        <f t="shared" si="4"/>
        <v>0</v>
      </c>
      <c r="L18" s="9">
        <v>1</v>
      </c>
      <c r="M18" s="12">
        <f t="shared" si="5"/>
        <v>0</v>
      </c>
      <c r="N18" s="13">
        <f t="shared" si="6"/>
        <v>-0.7</v>
      </c>
      <c r="O18" s="11" t="e">
        <f t="shared" si="1"/>
        <v>#REF!</v>
      </c>
    </row>
    <row r="19" spans="1:15">
      <c r="A19" s="15">
        <v>11</v>
      </c>
      <c r="B19" s="15" t="s">
        <v>18</v>
      </c>
      <c r="C19" s="15" t="s">
        <v>33</v>
      </c>
      <c r="D19" s="14" t="e">
        <f t="shared" si="2"/>
        <v>#REF!</v>
      </c>
      <c r="E19" s="1"/>
      <c r="F19" s="11" t="s">
        <v>2</v>
      </c>
      <c r="G19" s="12">
        <f t="shared" si="3"/>
        <v>-1</v>
      </c>
      <c r="H19" s="11" t="s">
        <v>1</v>
      </c>
      <c r="I19" s="12">
        <f t="shared" si="0"/>
        <v>0.3</v>
      </c>
      <c r="J19" s="11" t="s">
        <v>4</v>
      </c>
      <c r="K19" s="12">
        <f t="shared" si="4"/>
        <v>-0.1</v>
      </c>
      <c r="L19" s="9">
        <v>1</v>
      </c>
      <c r="M19" s="12">
        <f t="shared" si="5"/>
        <v>0.1</v>
      </c>
      <c r="N19" s="13">
        <f t="shared" si="6"/>
        <v>-0.7</v>
      </c>
      <c r="O19" s="11" t="e">
        <f t="shared" si="1"/>
        <v>#REF!</v>
      </c>
    </row>
    <row r="20" spans="1:15">
      <c r="A20" s="15">
        <v>12</v>
      </c>
      <c r="B20" s="15" t="s">
        <v>19</v>
      </c>
      <c r="C20" s="15" t="s">
        <v>33</v>
      </c>
      <c r="D20" s="14" t="e">
        <f t="shared" si="2"/>
        <v>#REF!</v>
      </c>
      <c r="E20" s="1"/>
      <c r="F20" s="11" t="s">
        <v>2</v>
      </c>
      <c r="G20" s="12">
        <f t="shared" si="3"/>
        <v>-1</v>
      </c>
      <c r="H20" s="11" t="s">
        <v>2</v>
      </c>
      <c r="I20" s="12">
        <f t="shared" si="0"/>
        <v>0</v>
      </c>
      <c r="J20" s="11"/>
      <c r="K20" s="12">
        <f t="shared" si="4"/>
        <v>0</v>
      </c>
      <c r="L20" s="9">
        <v>1</v>
      </c>
      <c r="M20" s="12">
        <f t="shared" si="5"/>
        <v>0.1</v>
      </c>
      <c r="N20" s="13">
        <f t="shared" si="6"/>
        <v>-0.9</v>
      </c>
      <c r="O20" s="11" t="e">
        <f t="shared" si="1"/>
        <v>#REF!</v>
      </c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</sheetData>
  <dataConsolidate/>
  <mergeCells count="17">
    <mergeCell ref="O7:O8"/>
    <mergeCell ref="F8:G8"/>
    <mergeCell ref="H8:I8"/>
    <mergeCell ref="J8:K8"/>
    <mergeCell ref="L8:M8"/>
    <mergeCell ref="A2:O2"/>
    <mergeCell ref="F5:G5"/>
    <mergeCell ref="A7:A8"/>
    <mergeCell ref="B7:B8"/>
    <mergeCell ref="C7:C8"/>
    <mergeCell ref="D7:D8"/>
    <mergeCell ref="F7:G7"/>
    <mergeCell ref="H7:I7"/>
    <mergeCell ref="J7:K7"/>
    <mergeCell ref="L7:M7"/>
    <mergeCell ref="F4:G4"/>
    <mergeCell ref="N7:N8"/>
  </mergeCells>
  <conditionalFormatting sqref="F9:G20">
    <cfRule type="expression" dxfId="13" priority="13">
      <formula>$F9="Oui"</formula>
    </cfRule>
    <cfRule type="expression" dxfId="12" priority="14">
      <formula>$F9="Non"</formula>
    </cfRule>
  </conditionalFormatting>
  <conditionalFormatting sqref="H9:I20">
    <cfRule type="expression" dxfId="11" priority="6">
      <formula>AND($F9="Non",$H9="Non")</formula>
    </cfRule>
    <cfRule type="expression" dxfId="10" priority="11">
      <formula>$F9="Oui"</formula>
    </cfRule>
    <cfRule type="expression" dxfId="9" priority="12">
      <formula>AND($F9="Non",$H9="Oui")</formula>
    </cfRule>
  </conditionalFormatting>
  <conditionalFormatting sqref="J9:K20">
    <cfRule type="expression" dxfId="8" priority="7">
      <formula>$J9="Non testé"</formula>
    </cfRule>
    <cfRule type="expression" dxfId="7" priority="8">
      <formula>$J9="Ok"</formula>
    </cfRule>
    <cfRule type="expression" dxfId="6" priority="9">
      <formula>$J9="Ko"</formula>
    </cfRule>
    <cfRule type="expression" dxfId="5" priority="10">
      <formula>AND($F9="Non",$H9="Non")</formula>
    </cfRule>
  </conditionalFormatting>
  <conditionalFormatting sqref="N9:O20">
    <cfRule type="expression" dxfId="4" priority="1">
      <formula>$N9&lt;0</formula>
    </cfRule>
    <cfRule type="expression" dxfId="3" priority="2">
      <formula>$N9=0</formula>
    </cfRule>
  </conditionalFormatting>
  <conditionalFormatting sqref="L9:M20">
    <cfRule type="expression" dxfId="2" priority="52">
      <formula>$J9="Ok"</formula>
    </cfRule>
    <cfRule type="expression" dxfId="1" priority="53">
      <formula>$L9=0</formula>
    </cfRule>
    <cfRule type="expression" dxfId="0" priority="54">
      <formula>$L9&gt;0</formula>
    </cfRule>
  </conditionalFormatting>
  <dataValidations count="4">
    <dataValidation type="list" showInputMessage="1" showErrorMessage="1" sqref="J9:J21">
      <formula1>"Ok,Ko,Non testé"</formula1>
    </dataValidation>
    <dataValidation showInputMessage="1" showErrorMessage="1" sqref="N9:O20"/>
    <dataValidation type="list" showInputMessage="1" showErrorMessage="1" sqref="F9:F20 H9:H20">
      <formula1>"Oui,Non"</formula1>
    </dataValidation>
    <dataValidation type="list" allowBlank="1" showInputMessage="1" showErrorMessage="1" sqref="C9:C20">
      <formula1>"Bloquante,Majeure,Mineure"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Guide d'utilisation</vt:lpstr>
      <vt:lpstr>Type de projet et squad</vt:lpstr>
      <vt:lpstr>Suivi du Périmètre</vt:lpstr>
      <vt:lpstr>Suivi des anomalies</vt:lpstr>
      <vt:lpstr>Synthèse</vt:lpstr>
      <vt:lpstr>Paramètres</vt:lpstr>
      <vt:lpstr>Synthèse Cycle</vt:lpstr>
      <vt:lpstr>Demande de corrections du cycle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2021-03-24T14:21:21Z</dcterms:modified>
</cp:coreProperties>
</file>