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5_DOSSIERS TRANSVERSAUX\03 - Europe\DPEB\01. 2024 transposition 2024\03_plan de transposition\04_MEPS\MEPS non résidentiel\03_DPE tertiaire\Etude comparative\"/>
    </mc:Choice>
  </mc:AlternateContent>
  <xr:revisionPtr revIDLastSave="0" documentId="8_{368E07CE-2DD3-4825-A152-FC6F5683D3B2}" xr6:coauthVersionLast="47" xr6:coauthVersionMax="47" xr10:uidLastSave="{00000000-0000-0000-0000-000000000000}"/>
  <bookViews>
    <workbookView xWindow="-120" yWindow="-120" windowWidth="29040" windowHeight="15840" xr2:uid="{66E9D27B-512D-48AA-9FDD-BD63B07E57C6}"/>
  </bookViews>
  <sheets>
    <sheet name="Variante - 3 Cat." sheetId="4" r:id="rId1"/>
    <sheet name="Ajustement climatique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4" l="1"/>
  <c r="F26" i="4"/>
  <c r="V20" i="4"/>
  <c r="F27" i="4"/>
  <c r="V14" i="4"/>
  <c r="V10" i="4"/>
  <c r="V9" i="4"/>
  <c r="V8" i="4"/>
  <c r="F25" i="4"/>
  <c r="N10" i="4"/>
  <c r="M22" i="4"/>
  <c r="N22" i="4" s="1"/>
  <c r="H27" i="4" l="1"/>
  <c r="F18" i="4"/>
  <c r="F17" i="4"/>
  <c r="C8" i="7"/>
  <c r="V25" i="7"/>
  <c r="W25" i="7"/>
  <c r="O25" i="7" l="1"/>
  <c r="M10" i="4"/>
  <c r="C16" i="7"/>
  <c r="C15" i="7"/>
  <c r="C14" i="7"/>
  <c r="M81" i="7"/>
  <c r="L81" i="7"/>
  <c r="I81" i="7"/>
  <c r="H81" i="7"/>
  <c r="M80" i="7"/>
  <c r="L80" i="7"/>
  <c r="I80" i="7"/>
  <c r="H80" i="7"/>
  <c r="M79" i="7"/>
  <c r="L79" i="7"/>
  <c r="I79" i="7"/>
  <c r="H79" i="7"/>
  <c r="M78" i="7"/>
  <c r="L78" i="7"/>
  <c r="I78" i="7"/>
  <c r="H78" i="7"/>
  <c r="M77" i="7"/>
  <c r="L77" i="7"/>
  <c r="I77" i="7"/>
  <c r="H77" i="7"/>
  <c r="M76" i="7"/>
  <c r="L76" i="7"/>
  <c r="I76" i="7"/>
  <c r="H76" i="7"/>
  <c r="M75" i="7"/>
  <c r="L75" i="7"/>
  <c r="I75" i="7"/>
  <c r="H75" i="7"/>
  <c r="M74" i="7"/>
  <c r="L74" i="7"/>
  <c r="I74" i="7"/>
  <c r="H74" i="7"/>
  <c r="M73" i="7"/>
  <c r="L73" i="7"/>
  <c r="I73" i="7"/>
  <c r="H73" i="7"/>
  <c r="M72" i="7"/>
  <c r="L72" i="7"/>
  <c r="I72" i="7"/>
  <c r="H72" i="7"/>
  <c r="M71" i="7"/>
  <c r="L71" i="7"/>
  <c r="I71" i="7"/>
  <c r="H71" i="7"/>
  <c r="M70" i="7"/>
  <c r="M82" i="7" s="1"/>
  <c r="Y69" i="7" s="1"/>
  <c r="Z69" i="7" s="1"/>
  <c r="AA69" i="7" s="1"/>
  <c r="L70" i="7"/>
  <c r="I70" i="7"/>
  <c r="H70" i="7"/>
  <c r="H82" i="7" s="1"/>
  <c r="O69" i="7" s="1"/>
  <c r="P69" i="7" s="1"/>
  <c r="M69" i="7"/>
  <c r="L69" i="7"/>
  <c r="L82" i="7" s="1"/>
  <c r="V69" i="7" s="1"/>
  <c r="W69" i="7" s="1"/>
  <c r="I69" i="7"/>
  <c r="I82" i="7" s="1"/>
  <c r="H69" i="7"/>
  <c r="M59" i="7"/>
  <c r="L59" i="7"/>
  <c r="I59" i="7"/>
  <c r="H59" i="7"/>
  <c r="M58" i="7"/>
  <c r="L58" i="7"/>
  <c r="I58" i="7"/>
  <c r="H58" i="7"/>
  <c r="M57" i="7"/>
  <c r="L57" i="7"/>
  <c r="I57" i="7"/>
  <c r="H57" i="7"/>
  <c r="M56" i="7"/>
  <c r="L56" i="7"/>
  <c r="I56" i="7"/>
  <c r="H56" i="7"/>
  <c r="M55" i="7"/>
  <c r="L55" i="7"/>
  <c r="I55" i="7"/>
  <c r="H55" i="7"/>
  <c r="M54" i="7"/>
  <c r="L54" i="7"/>
  <c r="I54" i="7"/>
  <c r="H54" i="7"/>
  <c r="M53" i="7"/>
  <c r="L53" i="7"/>
  <c r="I53" i="7"/>
  <c r="H53" i="7"/>
  <c r="M52" i="7"/>
  <c r="L52" i="7"/>
  <c r="I52" i="7"/>
  <c r="H52" i="7"/>
  <c r="M51" i="7"/>
  <c r="L51" i="7"/>
  <c r="I51" i="7"/>
  <c r="H51" i="7"/>
  <c r="M50" i="7"/>
  <c r="L50" i="7"/>
  <c r="I50" i="7"/>
  <c r="H50" i="7"/>
  <c r="M49" i="7"/>
  <c r="L49" i="7"/>
  <c r="I49" i="7"/>
  <c r="H49" i="7"/>
  <c r="M48" i="7"/>
  <c r="M60" i="7" s="1"/>
  <c r="L48" i="7"/>
  <c r="I48" i="7"/>
  <c r="H48" i="7"/>
  <c r="M47" i="7"/>
  <c r="L47" i="7"/>
  <c r="L60" i="7" s="1"/>
  <c r="V47" i="7" s="1"/>
  <c r="W47" i="7" s="1"/>
  <c r="I47" i="7"/>
  <c r="I60" i="7" s="1"/>
  <c r="R47" i="7" s="1"/>
  <c r="S47" i="7" s="1"/>
  <c r="T47" i="7" s="1"/>
  <c r="H47" i="7"/>
  <c r="H60" i="7" s="1"/>
  <c r="O47" i="7" s="1"/>
  <c r="P47" i="7" s="1"/>
  <c r="M37" i="7"/>
  <c r="L37" i="7"/>
  <c r="I37" i="7"/>
  <c r="H37" i="7"/>
  <c r="M36" i="7"/>
  <c r="L36" i="7"/>
  <c r="I36" i="7"/>
  <c r="H36" i="7"/>
  <c r="M35" i="7"/>
  <c r="L35" i="7"/>
  <c r="I35" i="7"/>
  <c r="H35" i="7"/>
  <c r="M34" i="7"/>
  <c r="L34" i="7"/>
  <c r="I34" i="7"/>
  <c r="H34" i="7"/>
  <c r="M33" i="7"/>
  <c r="L33" i="7"/>
  <c r="I33" i="7"/>
  <c r="H33" i="7"/>
  <c r="M32" i="7"/>
  <c r="L32" i="7"/>
  <c r="I32" i="7"/>
  <c r="H32" i="7"/>
  <c r="M31" i="7"/>
  <c r="L31" i="7"/>
  <c r="I31" i="7"/>
  <c r="H31" i="7"/>
  <c r="M30" i="7"/>
  <c r="L30" i="7"/>
  <c r="I30" i="7"/>
  <c r="H30" i="7"/>
  <c r="M29" i="7"/>
  <c r="L29" i="7"/>
  <c r="I29" i="7"/>
  <c r="H29" i="7"/>
  <c r="M28" i="7"/>
  <c r="L28" i="7"/>
  <c r="I28" i="7"/>
  <c r="H28" i="7"/>
  <c r="M27" i="7"/>
  <c r="L27" i="7"/>
  <c r="I27" i="7"/>
  <c r="H27" i="7"/>
  <c r="M26" i="7"/>
  <c r="L26" i="7"/>
  <c r="L38" i="7" s="1"/>
  <c r="I26" i="7"/>
  <c r="I38" i="7" s="1"/>
  <c r="H26" i="7"/>
  <c r="M25" i="7"/>
  <c r="M38" i="7" s="1"/>
  <c r="Y25" i="7" s="1"/>
  <c r="Z25" i="7" s="1"/>
  <c r="AA25" i="7" s="1"/>
  <c r="L25" i="7"/>
  <c r="I25" i="7"/>
  <c r="H25" i="7"/>
  <c r="H38" i="7" s="1"/>
  <c r="P25" i="7" s="1"/>
  <c r="P16" i="7"/>
  <c r="K16" i="7"/>
  <c r="K15" i="7"/>
  <c r="P14" i="7"/>
  <c r="O14" i="7"/>
  <c r="K14" i="7"/>
  <c r="E6" i="7"/>
  <c r="Q22" i="4"/>
  <c r="R22" i="4" s="1"/>
  <c r="O22" i="4"/>
  <c r="P22" i="4" s="1"/>
  <c r="Q16" i="4"/>
  <c r="R16" i="4" s="1"/>
  <c r="O16" i="4"/>
  <c r="P16" i="4" s="1"/>
  <c r="M16" i="4"/>
  <c r="N16" i="4" s="1"/>
  <c r="Q10" i="4"/>
  <c r="R10" i="4" s="1"/>
  <c r="O10" i="4"/>
  <c r="P10" i="4" s="1"/>
  <c r="F23" i="4" l="1"/>
  <c r="M15" i="7"/>
  <c r="N15" i="7" s="1"/>
  <c r="M14" i="7"/>
  <c r="N14" i="7" s="1"/>
  <c r="M16" i="7"/>
  <c r="O16" i="7"/>
  <c r="P15" i="7"/>
  <c r="P18" i="7" s="1"/>
  <c r="O15" i="7"/>
  <c r="R25" i="7"/>
  <c r="S25" i="7" s="1"/>
  <c r="T25" i="7" s="1"/>
  <c r="R69" i="7"/>
  <c r="S69" i="7" s="1"/>
  <c r="T69" i="7" s="1"/>
  <c r="Y47" i="7"/>
  <c r="Z47" i="7" s="1"/>
  <c r="AA47" i="7" s="1"/>
  <c r="G25" i="4"/>
  <c r="H25" i="4"/>
  <c r="M18" i="7" l="1"/>
  <c r="N16" i="7"/>
  <c r="C88" i="7" s="1"/>
  <c r="C41" i="7"/>
  <c r="C63" i="7"/>
  <c r="R18" i="7"/>
  <c r="O18" i="7"/>
  <c r="H26" i="4"/>
  <c r="H23" i="4" s="1"/>
  <c r="V21" i="4" s="1"/>
  <c r="G26" i="4"/>
  <c r="G23" i="4" s="1"/>
  <c r="V15" i="4" s="1"/>
  <c r="V16" i="4" l="1"/>
  <c r="V17" i="4"/>
  <c r="H24" i="4"/>
  <c r="G24" i="4"/>
  <c r="F24" i="4"/>
  <c r="N18" i="7"/>
  <c r="B94" i="7"/>
  <c r="B102" i="7" s="1"/>
  <c r="B108" i="7" s="1"/>
  <c r="F19" i="4" s="1"/>
  <c r="F21" i="4" l="1"/>
  <c r="G21" i="4"/>
  <c r="H21" i="4"/>
  <c r="F20" i="4"/>
  <c r="G22" i="4" l="1"/>
  <c r="H22" i="4"/>
  <c r="V23" i="4" s="1"/>
  <c r="F22" i="4"/>
  <c r="V11" i="4" s="1"/>
  <c r="AB12" i="4" s="1"/>
  <c r="V22" i="4"/>
  <c r="AB11" i="4" l="1"/>
  <c r="AB13" i="4" s="1"/>
  <c r="AB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tc={1B6C6210-B45C-44E4-B116-7C99BF37BE08}</author>
  </authors>
  <commentList>
    <comment ref="B108" authorId="0" shapeId="0" xr:uid="{21DB9C0E-7326-4E18-BD6A-0C1A52E65BAB}">
      <text>
        <r>
          <rPr>
            <sz val="11"/>
            <color theme="1"/>
            <rFont val="Calibri"/>
            <family val="2"/>
            <scheme val="minor"/>
          </rPr>
  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La valeur est ajoutée dans la nouvelle colonne "consommation_ajustee" de la table CONSOMMATION_SYNTHESE. </t>
        </r>
      </text>
    </comment>
  </commentList>
</comments>
</file>

<file path=xl/sharedStrings.xml><?xml version="1.0" encoding="utf-8"?>
<sst xmlns="http://schemas.openxmlformats.org/spreadsheetml/2006/main" count="392" uniqueCount="190">
  <si>
    <t>Electrictié</t>
  </si>
  <si>
    <t>Autre</t>
  </si>
  <si>
    <t>Electricité</t>
  </si>
  <si>
    <t>Facteurs de conversion Ep/Ef</t>
  </si>
  <si>
    <t>Composante CVC</t>
  </si>
  <si>
    <t>ECS</t>
  </si>
  <si>
    <t>Eclairage</t>
  </si>
  <si>
    <t xml:space="preserve">Cabs_2030 </t>
  </si>
  <si>
    <r>
      <t>[kWh</t>
    </r>
    <r>
      <rPr>
        <vertAlign val="subscript"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>/m².an]</t>
    </r>
  </si>
  <si>
    <t xml:space="preserve">Méthode 1 : parc électrique </t>
  </si>
  <si>
    <r>
      <t>[kWh</t>
    </r>
    <r>
      <rPr>
        <vertAlign val="subscript"/>
        <sz val="11"/>
        <color theme="1"/>
        <rFont val="Calibri"/>
        <family val="2"/>
        <scheme val="minor"/>
      </rPr>
      <t>EP</t>
    </r>
    <r>
      <rPr>
        <sz val="11"/>
        <color theme="1"/>
        <rFont val="Calibri"/>
        <family val="2"/>
        <scheme val="minor"/>
      </rPr>
      <t>/m².an]</t>
    </r>
  </si>
  <si>
    <t xml:space="preserve">Méthode 2 : Ratio énergétique </t>
  </si>
  <si>
    <t>Bureaux standards</t>
  </si>
  <si>
    <t>Données OPERAT</t>
  </si>
  <si>
    <t>Valeur absolue</t>
  </si>
  <si>
    <t>Zone climatique</t>
  </si>
  <si>
    <t>-</t>
  </si>
  <si>
    <t>H1a</t>
  </si>
  <si>
    <t>Total</t>
  </si>
  <si>
    <t>[%]</t>
  </si>
  <si>
    <t>USE étalon</t>
  </si>
  <si>
    <t>Composante USE</t>
  </si>
  <si>
    <t>USE étalon =</t>
  </si>
  <si>
    <t>kWh/m²/an</t>
  </si>
  <si>
    <t>% USE variable = 69%</t>
  </si>
  <si>
    <t>Type d’indicateur d’intensité d’usage</t>
  </si>
  <si>
    <t>Indicateur d’intensité d’usage à renseigner par l’assujetti</t>
  </si>
  <si>
    <t>Valeur de référence associée à la USE étalon</t>
  </si>
  <si>
    <t>Indicateur d’intensité d’usage étalon</t>
  </si>
  <si>
    <t>Indicateurs d’intensité d’usage temporels</t>
  </si>
  <si>
    <r>
      <t xml:space="preserve">Amplitude horaire annuelle (h ouvrées/an) </t>
    </r>
    <r>
      <rPr>
        <b/>
        <sz val="10"/>
        <color theme="1"/>
        <rFont val="Calibri"/>
        <family val="2"/>
      </rPr>
      <t>Nb_h ouvrées</t>
    </r>
  </si>
  <si>
    <r>
      <t xml:space="preserve">Densité Temporelle étalon </t>
    </r>
    <r>
      <rPr>
        <sz val="10"/>
        <color theme="1"/>
        <rFont val="Calibri"/>
        <family val="2"/>
      </rPr>
      <t xml:space="preserve">(h ouvrées/an) </t>
    </r>
    <r>
      <rPr>
        <b/>
        <sz val="10"/>
        <color theme="1"/>
        <rFont val="Calibri"/>
        <family val="2"/>
      </rPr>
      <t>DT</t>
    </r>
    <r>
      <rPr>
        <b/>
        <vertAlign val="subscript"/>
        <sz val="10"/>
        <color theme="1"/>
        <rFont val="Calibri"/>
        <family val="2"/>
      </rPr>
      <t>étalon</t>
    </r>
  </si>
  <si>
    <t>Indicateurs d’intensité d’usage surfaciques</t>
  </si>
  <si>
    <r>
      <t xml:space="preserve">Surface Plancher / poste de travail </t>
    </r>
    <r>
      <rPr>
        <sz val="9"/>
        <color theme="1"/>
        <rFont val="Calibri"/>
        <family val="2"/>
      </rPr>
      <t xml:space="preserve">ou Surface Utile Brute </t>
    </r>
    <r>
      <rPr>
        <sz val="10"/>
        <color theme="1"/>
        <rFont val="Calibri"/>
        <family val="2"/>
      </rPr>
      <t xml:space="preserve">(m²/poste) </t>
    </r>
    <r>
      <rPr>
        <b/>
        <sz val="9"/>
        <color theme="1"/>
        <rFont val="Calibri"/>
        <family val="2"/>
      </rPr>
      <t>Surf_poste</t>
    </r>
  </si>
  <si>
    <r>
      <t xml:space="preserve">Taux d’occupation (%)  </t>
    </r>
    <r>
      <rPr>
        <b/>
        <sz val="10"/>
        <color theme="1"/>
        <rFont val="Calibri"/>
        <family val="2"/>
      </rPr>
      <t>T_occ</t>
    </r>
  </si>
  <si>
    <r>
      <t xml:space="preserve">Surface / Poste étalon </t>
    </r>
    <r>
      <rPr>
        <sz val="9"/>
        <color theme="1"/>
        <rFont val="Calibri"/>
        <family val="2"/>
      </rPr>
      <t xml:space="preserve">(m²/poste) </t>
    </r>
    <r>
      <rPr>
        <b/>
        <sz val="10"/>
        <color theme="1"/>
        <rFont val="Calibri"/>
        <family val="2"/>
      </rPr>
      <t>Surf</t>
    </r>
    <r>
      <rPr>
        <b/>
        <vertAlign val="subscript"/>
        <sz val="10"/>
        <color theme="1"/>
        <rFont val="Calibri"/>
        <family val="2"/>
      </rPr>
      <t>étalon</t>
    </r>
  </si>
  <si>
    <r>
      <t>Taux d’occupation</t>
    </r>
    <r>
      <rPr>
        <sz val="10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</rPr>
      <t>étalon</t>
    </r>
    <r>
      <rPr>
        <sz val="10"/>
        <color theme="1"/>
        <rFont val="Calibri"/>
        <family val="2"/>
      </rPr>
      <t xml:space="preserve"> (%) </t>
    </r>
    <r>
      <rPr>
        <b/>
        <sz val="10"/>
        <color theme="1"/>
        <rFont val="Calibri"/>
        <family val="2"/>
      </rPr>
      <t>T_occ</t>
    </r>
    <r>
      <rPr>
        <b/>
        <vertAlign val="subscript"/>
        <sz val="10"/>
        <color theme="1"/>
        <rFont val="Calibri"/>
        <family val="2"/>
      </rPr>
      <t>étalo</t>
    </r>
    <r>
      <rPr>
        <vertAlign val="subscript"/>
        <sz val="10"/>
        <color theme="1"/>
        <rFont val="Calibri"/>
        <family val="2"/>
      </rPr>
      <t>n</t>
    </r>
    <r>
      <rPr>
        <sz val="10"/>
        <color theme="1"/>
        <rFont val="Calibri"/>
        <family val="2"/>
      </rPr>
      <t xml:space="preserve"> </t>
    </r>
  </si>
  <si>
    <t>Formule de modulation en fonction du volume d’activité</t>
  </si>
  <si>
    <r>
      <t>USE modulé</t>
    </r>
    <r>
      <rPr>
        <sz val="10"/>
        <color theme="1"/>
        <rFont val="Calibri"/>
        <family val="2"/>
      </rPr>
      <t xml:space="preserve"> (kWh/m²/an) = USE étalon x (Nb_h ouvrées/ DTétalon) x [%USE variable x (</t>
    </r>
    <r>
      <rPr>
        <b/>
        <sz val="10"/>
        <color theme="1"/>
        <rFont val="Calibri"/>
        <family val="2"/>
      </rPr>
      <t>T_occ /</t>
    </r>
    <r>
      <rPr>
        <sz val="10"/>
        <color theme="1"/>
        <rFont val="Calibri"/>
        <family val="2"/>
      </rPr>
      <t xml:space="preserve"> T_occ</t>
    </r>
    <r>
      <rPr>
        <vertAlign val="subscript"/>
        <sz val="10"/>
        <color theme="1"/>
        <rFont val="Calibri"/>
        <family val="2"/>
      </rPr>
      <t>étalon</t>
    </r>
    <r>
      <rPr>
        <b/>
        <sz val="10"/>
        <color theme="1"/>
        <rFont val="Calibri"/>
        <family val="2"/>
      </rPr>
      <t xml:space="preserve">) </t>
    </r>
    <r>
      <rPr>
        <sz val="10"/>
        <color theme="1"/>
        <rFont val="Calibri"/>
        <family val="2"/>
      </rPr>
      <t>x (Surf</t>
    </r>
    <r>
      <rPr>
        <vertAlign val="subscript"/>
        <sz val="10"/>
        <color theme="1"/>
        <rFont val="Calibri"/>
        <family val="2"/>
      </rPr>
      <t>étalon</t>
    </r>
    <r>
      <rPr>
        <sz val="10"/>
        <color theme="1"/>
        <rFont val="Calibri"/>
        <family val="2"/>
      </rPr>
      <t xml:space="preserve"> /</t>
    </r>
    <r>
      <rPr>
        <b/>
        <sz val="9"/>
        <color theme="1"/>
        <rFont val="Calibri"/>
        <family val="2"/>
      </rPr>
      <t xml:space="preserve"> Surf_poste</t>
    </r>
    <r>
      <rPr>
        <sz val="9"/>
        <color theme="1"/>
        <rFont val="Calibri"/>
        <family val="2"/>
      </rPr>
      <t xml:space="preserve">) </t>
    </r>
    <r>
      <rPr>
        <sz val="10"/>
        <color theme="1"/>
        <rFont val="Calibri"/>
        <family val="2"/>
      </rPr>
      <t>+ (1-%USE variable)] + 0,28 x CVC x (Nb_h ouvrées - DTétalon)/ DTétalon</t>
    </r>
  </si>
  <si>
    <t>en kWh/m²/an</t>
  </si>
  <si>
    <t>Zones Géographiques</t>
  </si>
  <si>
    <t>H1b</t>
  </si>
  <si>
    <t>H1c</t>
  </si>
  <si>
    <t>H2a</t>
  </si>
  <si>
    <t>H2b</t>
  </si>
  <si>
    <t>H2c</t>
  </si>
  <si>
    <t>H2d</t>
  </si>
  <si>
    <t>H3</t>
  </si>
  <si>
    <t>Guyane</t>
  </si>
  <si>
    <t>Guadeloupe</t>
  </si>
  <si>
    <t>Martinique</t>
  </si>
  <si>
    <t>Mayotte</t>
  </si>
  <si>
    <t>Réunion</t>
  </si>
  <si>
    <t>Définie par arrêté</t>
  </si>
  <si>
    <t xml:space="preserve">Définie par arrêté </t>
  </si>
  <si>
    <t>0-400</t>
  </si>
  <si>
    <t>400-800</t>
  </si>
  <si>
    <t>800-1200</t>
  </si>
  <si>
    <t>1200-1600</t>
  </si>
  <si>
    <t>&gt;1600</t>
  </si>
  <si>
    <t>Altitude [m]</t>
  </si>
  <si>
    <t>Caractéristiques du bâtiment</t>
  </si>
  <si>
    <t>Electricté</t>
  </si>
  <si>
    <t>Valeur OPERAT</t>
  </si>
  <si>
    <t>Valeur calculée</t>
  </si>
  <si>
    <t>Catégories du bâtiment</t>
  </si>
  <si>
    <t>Open space</t>
  </si>
  <si>
    <t>Bureaux</t>
  </si>
  <si>
    <t>« Sous-catégorie “ Bureaux Standards ” (cloisonnés – attribués)</t>
  </si>
  <si>
    <t>Taux d’occupation nominal (%)</t>
  </si>
  <si>
    <t>T_occ</t>
  </si>
  <si>
    <r>
      <t xml:space="preserve"> Taux d’occupation</t>
    </r>
    <r>
      <rPr>
        <sz val="10"/>
        <color theme="1"/>
        <rFont val="Calibri"/>
        <family val="2"/>
      </rPr>
      <t xml:space="preserve"> </t>
    </r>
    <r>
      <rPr>
        <b/>
        <sz val="10"/>
        <color theme="1"/>
        <rFont val="Calibri"/>
        <family val="2"/>
      </rPr>
      <t>étalon</t>
    </r>
    <r>
      <rPr>
        <sz val="10"/>
        <color theme="1"/>
        <rFont val="Calibri"/>
        <family val="2"/>
      </rPr>
      <t xml:space="preserve"> (%) </t>
    </r>
    <r>
      <rPr>
        <b/>
        <sz val="10"/>
        <color theme="1"/>
        <rFont val="Calibri"/>
        <family val="2"/>
      </rPr>
      <t>T_occ</t>
    </r>
    <r>
      <rPr>
        <b/>
        <vertAlign val="subscript"/>
        <sz val="10"/>
        <color theme="1"/>
        <rFont val="Calibri"/>
        <family val="2"/>
      </rPr>
      <t>étalo</t>
    </r>
    <r>
      <rPr>
        <vertAlign val="subscript"/>
        <sz val="10"/>
        <color theme="1"/>
        <rFont val="Calibri"/>
        <family val="2"/>
      </rPr>
      <t>n</t>
    </r>
    <r>
      <rPr>
        <sz val="10"/>
        <color theme="1"/>
        <rFont val="Calibri"/>
        <family val="2"/>
      </rPr>
      <t xml:space="preserve"> </t>
    </r>
  </si>
  <si>
    <t xml:space="preserve">Décomposition de la composante USE étalon - Bureaux standards </t>
  </si>
  <si>
    <t>Décomposition de la composante USE étalon - Open space</t>
  </si>
  <si>
    <t>Calcul de la consommation 5 usages - Bureaux standards</t>
  </si>
  <si>
    <t>Part_USE_variable = 79%</t>
  </si>
  <si>
    <r>
      <t xml:space="preserve">Amplitude horaire annuelle (h ouvrées/ an) </t>
    </r>
    <r>
      <rPr>
        <b/>
        <sz val="10"/>
        <color theme="1"/>
        <rFont val="Calibri"/>
        <family val="2"/>
      </rPr>
      <t>Nb_h_ouvrées</t>
    </r>
  </si>
  <si>
    <r>
      <t xml:space="preserve">Amplitude horaire annuelle étalon </t>
    </r>
    <r>
      <rPr>
        <sz val="10"/>
        <color theme="1"/>
        <rFont val="Calibri"/>
        <family val="2"/>
      </rPr>
      <t xml:space="preserve">(h ouvrées/an) </t>
    </r>
    <r>
      <rPr>
        <b/>
        <sz val="10"/>
        <color theme="1"/>
        <rFont val="Calibri"/>
        <family val="2"/>
      </rPr>
      <t xml:space="preserve">Nb_h_ouvrées </t>
    </r>
    <r>
      <rPr>
        <b/>
        <vertAlign val="subscript"/>
        <sz val="10"/>
        <color theme="1"/>
        <rFont val="Calibri"/>
        <family val="2"/>
      </rPr>
      <t>étalon</t>
    </r>
    <r>
      <rPr>
        <b/>
        <sz val="10"/>
        <color theme="1"/>
        <rFont val="Calibri"/>
        <family val="2"/>
      </rPr>
      <t>Nb_h_ouvrées_étalon</t>
    </r>
  </si>
  <si>
    <r>
      <t xml:space="preserve">Surface / Poste étalon </t>
    </r>
    <r>
      <rPr>
        <sz val="9"/>
        <color theme="1"/>
        <rFont val="Calibri"/>
        <family val="2"/>
      </rPr>
      <t xml:space="preserve">(m²/poste) </t>
    </r>
    <r>
      <rPr>
        <b/>
        <sz val="10"/>
        <color theme="1"/>
        <rFont val="Calibri"/>
        <family val="2"/>
      </rPr>
      <t>Surf_poste_étalon</t>
    </r>
  </si>
  <si>
    <r>
      <t>USE modulé</t>
    </r>
    <r>
      <rPr>
        <sz val="10"/>
        <color theme="1"/>
        <rFont val="Calibri"/>
        <family val="2"/>
      </rPr>
      <t xml:space="preserve"> (kWh/m²/an) = USE étalon x (Nb_h_ouvrées/ </t>
    </r>
    <r>
      <rPr>
        <b/>
        <sz val="10"/>
        <color theme="1"/>
        <rFont val="Calibri"/>
        <family val="2"/>
      </rPr>
      <t xml:space="preserve">Nb_h_ouvrées </t>
    </r>
    <r>
      <rPr>
        <b/>
        <vertAlign val="subscript"/>
        <sz val="10"/>
        <color theme="1"/>
        <rFont val="Calibri"/>
        <family val="2"/>
      </rPr>
      <t>étalon</t>
    </r>
    <r>
      <rPr>
        <sz val="10"/>
        <color theme="1"/>
        <rFont val="Calibri"/>
        <family val="2"/>
      </rPr>
      <t>) x [Part_USE_variablex (</t>
    </r>
    <r>
      <rPr>
        <b/>
        <sz val="10"/>
        <color theme="1"/>
        <rFont val="Calibri"/>
        <family val="2"/>
      </rPr>
      <t>T_occ /</t>
    </r>
    <r>
      <rPr>
        <sz val="10"/>
        <color theme="1"/>
        <rFont val="Calibri"/>
        <family val="2"/>
      </rPr>
      <t xml:space="preserve"> T_occ</t>
    </r>
    <r>
      <rPr>
        <vertAlign val="subscript"/>
        <sz val="10"/>
        <color theme="1"/>
        <rFont val="Calibri"/>
        <family val="2"/>
      </rPr>
      <t>étalon</t>
    </r>
    <r>
      <rPr>
        <b/>
        <sz val="10"/>
        <color theme="1"/>
        <rFont val="Calibri"/>
        <family val="2"/>
      </rPr>
      <t xml:space="preserve">) </t>
    </r>
    <r>
      <rPr>
        <sz val="10"/>
        <color theme="1"/>
        <rFont val="Calibri"/>
        <family val="2"/>
      </rPr>
      <t>x (Surf_poste_étalon /</t>
    </r>
    <r>
      <rPr>
        <b/>
        <sz val="9"/>
        <color theme="1"/>
        <rFont val="Calibri"/>
        <family val="2"/>
      </rPr>
      <t xml:space="preserve"> Surf_poste</t>
    </r>
    <r>
      <rPr>
        <sz val="9"/>
        <color theme="1"/>
        <rFont val="Calibri"/>
        <family val="2"/>
      </rPr>
      <t xml:space="preserve">) </t>
    </r>
    <r>
      <rPr>
        <sz val="10"/>
        <color theme="1"/>
        <rFont val="Calibri"/>
        <family val="2"/>
      </rPr>
      <t xml:space="preserve">+ (1-Part_USE_variable)] + 0,28 x CVC x (Nb_h_ouvrées - </t>
    </r>
    <r>
      <rPr>
        <b/>
        <sz val="10"/>
        <color theme="1"/>
        <rFont val="Calibri"/>
        <family val="2"/>
      </rPr>
      <t xml:space="preserve">Nb_h_ouvrées </t>
    </r>
    <r>
      <rPr>
        <b/>
        <vertAlign val="subscript"/>
        <sz val="10"/>
        <color theme="1"/>
        <rFont val="Calibri"/>
        <family val="2"/>
      </rPr>
      <t>étalon</t>
    </r>
    <r>
      <rPr>
        <sz val="10"/>
        <color theme="1"/>
        <rFont val="Calibri"/>
        <family val="2"/>
      </rPr>
      <t xml:space="preserve">)/ </t>
    </r>
    <r>
      <rPr>
        <b/>
        <sz val="10"/>
        <color theme="1"/>
        <rFont val="Calibri"/>
        <family val="2"/>
      </rPr>
      <t xml:space="preserve">Nb_h_ouvrées </t>
    </r>
    <r>
      <rPr>
        <b/>
        <vertAlign val="subscript"/>
        <sz val="10"/>
        <color theme="1"/>
        <rFont val="Calibri"/>
        <family val="2"/>
      </rPr>
      <t>étalon</t>
    </r>
  </si>
  <si>
    <t>« Sous-catégorie “Open Space ” (non cloisonné – attribué) »</t>
  </si>
  <si>
    <r>
      <t xml:space="preserve">Composante </t>
    </r>
    <r>
      <rPr>
        <b/>
        <sz val="10"/>
        <color rgb="FF000000"/>
        <rFont val="Calibri"/>
        <family val="2"/>
      </rPr>
      <t>CVC</t>
    </r>
  </si>
  <si>
    <t>Cafétéria</t>
  </si>
  <si>
    <t>Décomposition de la composante USE étalon - Cafétéria</t>
  </si>
  <si>
    <t>% USE variable = 100%</t>
  </si>
  <si>
    <r>
      <t xml:space="preserve">Ratio surfacique cuisine (%) </t>
    </r>
    <r>
      <rPr>
        <b/>
        <sz val="10"/>
        <color theme="1"/>
        <rFont val="Calibri"/>
        <family val="2"/>
      </rPr>
      <t>Surf</t>
    </r>
  </si>
  <si>
    <r>
      <t>Ratio surfacique cuisine</t>
    </r>
    <r>
      <rPr>
        <b/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</rPr>
      <t xml:space="preserve">(%) </t>
    </r>
    <r>
      <rPr>
        <b/>
        <sz val="10"/>
        <color theme="1"/>
        <rFont val="Calibri"/>
        <family val="2"/>
      </rPr>
      <t>Surf</t>
    </r>
    <r>
      <rPr>
        <b/>
        <vertAlign val="subscript"/>
        <sz val="10"/>
        <color theme="1"/>
        <rFont val="Calibri"/>
        <family val="2"/>
      </rPr>
      <t>étalon</t>
    </r>
  </si>
  <si>
    <r>
      <t xml:space="preserve">Densité cuisine (kWh/m²/an) </t>
    </r>
    <r>
      <rPr>
        <b/>
        <sz val="10"/>
        <color theme="1"/>
        <rFont val="Calibri"/>
        <family val="2"/>
      </rPr>
      <t>DE_cuisine</t>
    </r>
  </si>
  <si>
    <r>
      <t xml:space="preserve">Densité salle (kWh/m²/an) </t>
    </r>
    <r>
      <rPr>
        <b/>
        <sz val="10"/>
        <color theme="1"/>
        <rFont val="Calibri"/>
        <family val="2"/>
      </rPr>
      <t>DE_salle</t>
    </r>
  </si>
  <si>
    <r>
      <t>Densité totale (kWh/m²/an)</t>
    </r>
    <r>
      <rPr>
        <b/>
        <sz val="10"/>
        <color theme="1"/>
        <rFont val="Calibri"/>
        <family val="2"/>
      </rPr>
      <t xml:space="preserve"> DE</t>
    </r>
    <r>
      <rPr>
        <b/>
        <vertAlign val="subscript"/>
        <sz val="10"/>
        <color theme="1"/>
        <rFont val="Calibri"/>
        <family val="2"/>
      </rPr>
      <t>étalon</t>
    </r>
  </si>
  <si>
    <r>
      <t xml:space="preserve">USE modulé </t>
    </r>
    <r>
      <rPr>
        <sz val="10"/>
        <color theme="1"/>
        <rFont val="Calibri"/>
        <family val="2"/>
      </rPr>
      <t>(kWh/m²/an) = USE étalon x [</t>
    </r>
    <r>
      <rPr>
        <b/>
        <sz val="10"/>
        <color theme="1"/>
        <rFont val="Calibri"/>
        <family val="2"/>
      </rPr>
      <t>Surf</t>
    </r>
    <r>
      <rPr>
        <sz val="10"/>
        <color theme="1"/>
        <rFont val="Calibri"/>
        <family val="2"/>
      </rPr>
      <t xml:space="preserve"> x DE_cuisine + (1-</t>
    </r>
    <r>
      <rPr>
        <b/>
        <sz val="10"/>
        <color theme="1"/>
        <rFont val="Calibri"/>
        <family val="2"/>
      </rPr>
      <t>Surf</t>
    </r>
    <r>
      <rPr>
        <sz val="10"/>
        <color theme="1"/>
        <rFont val="Calibri"/>
        <family val="2"/>
      </rPr>
      <t>) x DE_salle) / DE</t>
    </r>
    <r>
      <rPr>
        <vertAlign val="subscript"/>
        <sz val="10"/>
        <color theme="1"/>
        <rFont val="Calibri"/>
        <family val="2"/>
      </rPr>
      <t>étalon</t>
    </r>
    <r>
      <rPr>
        <sz val="10"/>
        <color theme="1"/>
        <rFont val="Calibri"/>
        <family val="2"/>
      </rPr>
      <t>] x (Nb_h ouvrées/ DTétalon) + 0,28 x CVC x (</t>
    </r>
    <r>
      <rPr>
        <b/>
        <sz val="10"/>
        <color theme="1"/>
        <rFont val="Calibri"/>
        <family val="2"/>
      </rPr>
      <t>Nb_h ouvrées</t>
    </r>
    <r>
      <rPr>
        <b/>
        <sz val="9"/>
        <color theme="1"/>
        <rFont val="Calibri"/>
        <family val="2"/>
      </rPr>
      <t xml:space="preserve"> -</t>
    </r>
    <r>
      <rPr>
        <b/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</rPr>
      <t>DT</t>
    </r>
    <r>
      <rPr>
        <vertAlign val="subscript"/>
        <sz val="10"/>
        <color theme="1"/>
        <rFont val="Calibri"/>
        <family val="2"/>
      </rPr>
      <t>étalon</t>
    </r>
    <r>
      <rPr>
        <b/>
        <sz val="10"/>
        <color theme="1"/>
        <rFont val="Calibri"/>
        <family val="2"/>
      </rPr>
      <t>)/</t>
    </r>
    <r>
      <rPr>
        <sz val="10"/>
        <color theme="1"/>
        <rFont val="Calibri"/>
        <family val="2"/>
      </rPr>
      <t>DT</t>
    </r>
    <r>
      <rPr>
        <vertAlign val="subscript"/>
        <sz val="10"/>
        <color theme="1"/>
        <rFont val="Calibri"/>
        <family val="2"/>
      </rPr>
      <t>étalon</t>
    </r>
  </si>
  <si>
    <t>Surface totale [m²]</t>
  </si>
  <si>
    <t>Amplitude temporelle [h_ouvrée/an]</t>
  </si>
  <si>
    <t>Calcul de la consommation 5 usages - Open Space</t>
  </si>
  <si>
    <t>Calcul de la consommation 5 usages - Cafétéria</t>
  </si>
  <si>
    <t>« Sous-catégorie “Cafétéria ” »</t>
  </si>
  <si>
    <t>Données communes</t>
  </si>
  <si>
    <t>Cadre de reporting OPERAT</t>
  </si>
  <si>
    <t>Déclaration 2025</t>
  </si>
  <si>
    <t xml:space="preserve">Jour année </t>
  </si>
  <si>
    <t>Consommation totale PCI</t>
  </si>
  <si>
    <t>kWh</t>
  </si>
  <si>
    <t>Consommation chauffage PCI</t>
  </si>
  <si>
    <t>Consommation refroidissement PCI</t>
  </si>
  <si>
    <t xml:space="preserve"> -</t>
  </si>
  <si>
    <t>Consommation froid commercial PCI</t>
  </si>
  <si>
    <t>Activités déclarées</t>
  </si>
  <si>
    <t>Surface</t>
  </si>
  <si>
    <t>chauffé</t>
  </si>
  <si>
    <t>refroidissement</t>
  </si>
  <si>
    <t>froid commercial</t>
  </si>
  <si>
    <t>début activité</t>
  </si>
  <si>
    <t>fin activité</t>
  </si>
  <si>
    <t>Saisonnière</t>
  </si>
  <si>
    <t>Jours ouverture</t>
  </si>
  <si>
    <t>Surface 
moyenne annuelle</t>
  </si>
  <si>
    <t>Surface 
chauffée</t>
  </si>
  <si>
    <t>Surface 
refroidie</t>
  </si>
  <si>
    <t>Surface 
froid commercial</t>
  </si>
  <si>
    <t>Cabs 2030 modulé</t>
  </si>
  <si>
    <t>Coeff_chauff</t>
  </si>
  <si>
    <t>Coeff_fr</t>
  </si>
  <si>
    <t xml:space="preserve">Bureaux standards </t>
  </si>
  <si>
    <t>m²</t>
  </si>
  <si>
    <t>oui</t>
  </si>
  <si>
    <t>non</t>
  </si>
  <si>
    <t>NON</t>
  </si>
  <si>
    <t>Surface moyenne annuelle EFA</t>
  </si>
  <si>
    <t>Cabs EFA</t>
  </si>
  <si>
    <t xml:space="preserve">Etape 1 : Calcul de l'ajustement pour la sous-catégorie "Bureaux standard" </t>
  </si>
  <si>
    <t>Mois</t>
  </si>
  <si>
    <t>Jour de présence</t>
  </si>
  <si>
    <t>Jour mois</t>
  </si>
  <si>
    <t>Jour cadre de reporting</t>
  </si>
  <si>
    <r>
      <t xml:space="preserve">DJU Chauffage </t>
    </r>
    <r>
      <rPr>
        <b/>
        <sz val="11"/>
        <color rgb="FFFF0000"/>
        <rFont val="Calibri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</t>
    </r>
  </si>
  <si>
    <t>DJU Chauffage moy (2001-2020)</t>
  </si>
  <si>
    <r>
      <t xml:space="preserve">DJU Chauffage </t>
    </r>
    <r>
      <rPr>
        <b/>
        <sz val="11"/>
        <color rgb="FFFF0000"/>
        <rFont val="Calibri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* présence</t>
    </r>
  </si>
  <si>
    <t>DJU Chauffage moy (2001-2020) * présence</t>
  </si>
  <si>
    <r>
      <t xml:space="preserve">DJU Froid </t>
    </r>
    <r>
      <rPr>
        <b/>
        <sz val="11"/>
        <color rgb="FFFF0000"/>
        <rFont val="Calibri"/>
        <scheme val="minor"/>
      </rPr>
      <t>N</t>
    </r>
  </si>
  <si>
    <t>DJU Froid moy (2001-2020)</t>
  </si>
  <si>
    <r>
      <t xml:space="preserve">DJU Froid </t>
    </r>
    <r>
      <rPr>
        <b/>
        <sz val="11"/>
        <color rgb="FFFF0000"/>
        <rFont val="Calibri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* présence</t>
    </r>
  </si>
  <si>
    <t>DJU Froid moy (2001-2020) * présence</t>
  </si>
  <si>
    <t>Coeff Chauffage * DJU Chauffage N * présence</t>
  </si>
  <si>
    <t>min [Coeff Chauffage * DJU Chauffage N * présence; 1]</t>
  </si>
  <si>
    <t>(DJU Chauffage moy (2001-2020) N * présence - DJU Chauffage N * présence) / DJU Chauffage N * présence</t>
  </si>
  <si>
    <t>min [((DJU Chauffage moy (2001-2020) N * présence - DJU Chauffage N * présence) / DJU Chauffage N * présence;1]</t>
  </si>
  <si>
    <t>max [-0,5 ; min [((DJU Chauffage moy (2001-2020) N * présence - DJU Chauffage N * présence) / DJU Chauffage N * présence;1] ]</t>
  </si>
  <si>
    <t>Coeff Froid * DJU Froid N * présence</t>
  </si>
  <si>
    <t>min [Coeff Froid * DJU Froid N * présence; 1]</t>
  </si>
  <si>
    <t>(DJU Froid moy (2001-2020) N * présence - DJU Froid N * présence) / DJU Froid N * présence</t>
  </si>
  <si>
    <t>min [((DJU Froid moy (2001-2020) N * présence - DJU Froid N * présence) / DJU Froid N * présence;1]</t>
  </si>
  <si>
    <t>max [-0,5 ; min [((DJU Froid moy (2001-2020) N * présence - DJU Froid N * présence) / DJU Froid N * présence;1] ]</t>
  </si>
  <si>
    <r>
      <t xml:space="preserve">La consommation de chauffage est renseignée alors la formule </t>
    </r>
    <r>
      <rPr>
        <b/>
        <u/>
        <sz val="11"/>
        <color theme="1"/>
        <rFont val="Calibri"/>
        <family val="2"/>
        <scheme val="minor"/>
      </rPr>
      <t>avec</t>
    </r>
    <r>
      <rPr>
        <sz val="11"/>
        <color theme="1"/>
        <rFont val="Calibri"/>
        <family val="2"/>
        <scheme val="minor"/>
      </rPr>
      <t xml:space="preserve"> sous-comptage est utilisée : </t>
    </r>
  </si>
  <si>
    <r>
      <rPr>
        <b/>
        <sz val="10"/>
        <color theme="1"/>
        <rFont val="Calibri"/>
        <family val="2"/>
        <scheme val="minor"/>
      </rPr>
      <t>Acef</t>
    </r>
    <r>
      <rPr>
        <sz val="10"/>
        <color theme="1"/>
        <rFont val="Calibri"/>
        <family val="2"/>
        <scheme val="minor"/>
      </rPr>
      <t xml:space="preserve"> Chauffage </t>
    </r>
    <r>
      <rPr>
        <u/>
        <sz val="10"/>
        <color theme="1"/>
        <rFont val="Calibri"/>
        <family val="2"/>
        <scheme val="minor"/>
      </rPr>
      <t>avec</t>
    </r>
    <r>
      <rPr>
        <sz val="10"/>
        <color theme="1"/>
        <rFont val="Calibri"/>
        <family val="2"/>
        <scheme val="minor"/>
      </rPr>
      <t xml:space="preserve"> ss-comptage</t>
    </r>
  </si>
  <si>
    <r>
      <t>=C9*((R16*M16*P69)/(R14*M14*P25+R15*M15*P47+R16*M16*P69))*T</t>
    </r>
    <r>
      <rPr>
        <b/>
        <strike/>
        <sz val="11"/>
        <color rgb="FFFF0000"/>
        <rFont val="Calibri"/>
        <scheme val="minor"/>
      </rPr>
      <t>25</t>
    </r>
    <r>
      <rPr>
        <b/>
        <sz val="11"/>
        <color rgb="FFFF0000"/>
        <rFont val="Calibri"/>
        <scheme val="minor"/>
      </rPr>
      <t>69</t>
    </r>
  </si>
  <si>
    <t xml:space="preserve">Etape 4 : Calcul des ajustements à usage thermique </t>
  </si>
  <si>
    <t xml:space="preserve">Pour chaque usage thermique, on fait la somme des ajustements avec et sans ss-comptage : </t>
  </si>
  <si>
    <r>
      <t xml:space="preserve">Acef </t>
    </r>
    <r>
      <rPr>
        <sz val="11"/>
        <color theme="1"/>
        <rFont val="Calibri"/>
        <family val="2"/>
        <scheme val="minor"/>
      </rPr>
      <t xml:space="preserve">chauffage </t>
    </r>
  </si>
  <si>
    <r>
      <t xml:space="preserve">Acef </t>
    </r>
    <r>
      <rPr>
        <sz val="11"/>
        <color theme="1"/>
        <rFont val="Calibri"/>
        <family val="2"/>
        <scheme val="minor"/>
      </rPr>
      <t>froid process</t>
    </r>
  </si>
  <si>
    <r>
      <t xml:space="preserve">Acef </t>
    </r>
    <r>
      <rPr>
        <sz val="11"/>
        <color theme="1"/>
        <rFont val="Calibri"/>
        <family val="2"/>
        <scheme val="minor"/>
      </rPr>
      <t>refroidissement</t>
    </r>
  </si>
  <si>
    <t>Etape 5 : Calcul de l'ajustement climatique total</t>
  </si>
  <si>
    <t xml:space="preserve">On fait la somme des ajustements à usage thermique : </t>
  </si>
  <si>
    <r>
      <t xml:space="preserve">Acef </t>
    </r>
    <r>
      <rPr>
        <sz val="11"/>
        <color theme="1"/>
        <rFont val="Calibri"/>
        <family val="2"/>
        <scheme val="minor"/>
      </rPr>
      <t>climatique total</t>
    </r>
  </si>
  <si>
    <t>Etape 6 : Calcul de la consommation ajustée</t>
  </si>
  <si>
    <t xml:space="preserve">La consommation ajustée est calculée à partir de la consommation totale en PCI (m²) : </t>
  </si>
  <si>
    <t xml:space="preserve">Consommation ajustée </t>
  </si>
  <si>
    <t xml:space="preserve">Etape 2 : Calcul de l'ajustement pour la sous-catégorie "Open space" </t>
  </si>
  <si>
    <t xml:space="preserve">Etape 3 : Calcul de l'ajustement pour la sous-catégorie "Cafétéria" </t>
  </si>
  <si>
    <r>
      <rPr>
        <b/>
        <sz val="10"/>
        <color theme="1"/>
        <rFont val="Calibri"/>
        <family val="2"/>
        <scheme val="minor"/>
      </rPr>
      <t>Acef</t>
    </r>
    <r>
      <rPr>
        <sz val="10"/>
        <color theme="1"/>
        <rFont val="Calibri"/>
        <family val="2"/>
        <scheme val="minor"/>
      </rPr>
      <t xml:space="preserve"> Chauffage </t>
    </r>
    <r>
      <rPr>
        <u/>
        <sz val="10"/>
        <color theme="1"/>
        <rFont val="Calibri"/>
        <family val="2"/>
        <scheme val="minor"/>
      </rPr>
      <t>sans</t>
    </r>
    <r>
      <rPr>
        <sz val="10"/>
        <color theme="1"/>
        <rFont val="Calibri"/>
        <family val="2"/>
        <scheme val="minor"/>
      </rPr>
      <t xml:space="preserve"> ss-comptage</t>
    </r>
  </si>
  <si>
    <t xml:space="preserve">Formule sans sous-comptage : </t>
  </si>
  <si>
    <t xml:space="preserve">Formule avec sous-comptage : </t>
  </si>
  <si>
    <r>
      <t xml:space="preserve">Seule la consommation de chauffage est renseignée. C'est alors la formule </t>
    </r>
    <r>
      <rPr>
        <b/>
        <u/>
        <sz val="11"/>
        <color theme="1"/>
        <rFont val="Calibri"/>
        <family val="2"/>
        <scheme val="minor"/>
      </rPr>
      <t>sans</t>
    </r>
    <r>
      <rPr>
        <sz val="11"/>
        <color theme="1"/>
        <rFont val="Calibri"/>
        <family val="2"/>
        <scheme val="minor"/>
      </rPr>
      <t xml:space="preserve"> sous-comptage qui est utilisée : </t>
    </r>
  </si>
  <si>
    <r>
      <t xml:space="preserve">La consommation de chauffage n'est pas renseignée alors la formule </t>
    </r>
    <r>
      <rPr>
        <b/>
        <u/>
        <sz val="11"/>
        <color theme="1"/>
        <rFont val="Calibri"/>
        <family val="2"/>
        <scheme val="minor"/>
      </rPr>
      <t>sans</t>
    </r>
    <r>
      <rPr>
        <sz val="11"/>
        <color theme="1"/>
        <rFont val="Calibri"/>
        <family val="2"/>
        <scheme val="minor"/>
      </rPr>
      <t xml:space="preserve"> sous-comptage est utilisée : </t>
    </r>
  </si>
  <si>
    <t>"=C9*((R16*M16*P69)/(R14*M14*P25+R15*M15*P47+R16*M16*P69))*T25"</t>
  </si>
  <si>
    <r>
      <t>Consommation d'énergie finale totale [kWh</t>
    </r>
    <r>
      <rPr>
        <vertAlign val="subscript"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>]</t>
    </r>
  </si>
  <si>
    <t xml:space="preserve">Ratio de consommation par vecteur énergétique </t>
  </si>
  <si>
    <t xml:space="preserve">Ajustement climatique </t>
  </si>
  <si>
    <r>
      <t>Consommation d'énergie finale totale, corrigée du climat [kWh</t>
    </r>
    <r>
      <rPr>
        <vertAlign val="subscript"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>/m²/an]</t>
    </r>
  </si>
  <si>
    <t xml:space="preserve">Surface par poste [m²/poste] </t>
  </si>
  <si>
    <t>Taux d'occupation / Surface_cuisine</t>
  </si>
  <si>
    <t>Ratio</t>
  </si>
  <si>
    <r>
      <t>Totale [kWh</t>
    </r>
    <r>
      <rPr>
        <vertAlign val="subscript"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>/m².an]</t>
    </r>
  </si>
  <si>
    <r>
      <t>Ratio de consommation, corrigé du climat [kWh</t>
    </r>
    <r>
      <rPr>
        <vertAlign val="subscript"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 xml:space="preserve">/m²/an] </t>
    </r>
  </si>
  <si>
    <r>
      <t>Composante CVC étalon [kWh</t>
    </r>
    <r>
      <rPr>
        <vertAlign val="subscript"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>/m².an]</t>
    </r>
  </si>
  <si>
    <r>
      <t>Composante CVC modulée pure [kWh</t>
    </r>
    <r>
      <rPr>
        <vertAlign val="subscript"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>/m².an]</t>
    </r>
  </si>
  <si>
    <r>
      <t>Composante USE modulée pure [kWh</t>
    </r>
    <r>
      <rPr>
        <vertAlign val="subscript"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>/m².an]</t>
    </r>
  </si>
  <si>
    <t>Cabs_5 usages, standardisé usages</t>
  </si>
  <si>
    <t xml:space="preserve">Part de la consommation 5 usages dans la consommation totale </t>
  </si>
  <si>
    <t>Consommation 5 usages totale en énergie primaire, standardisée climat</t>
  </si>
  <si>
    <t>Consommation 5 usages, corrigée climat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</si>
</sst>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d/m;@"/>
    <numFmt numFmtId="166" formatCode="_-* #,##0_-;\-* #,##0_-;_-* &quot;-&quot;??_-;_-@_-"/>
    <numFmt numFmtId="167" formatCode="#,##0.000"/>
    <numFmt numFmtId="168" formatCode="#,##0.000_ ;\-#,##0.000\ 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vertAlign val="subscript"/>
      <sz val="10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vertAlign val="subscript"/>
      <sz val="10"/>
      <color theme="1"/>
      <name val="Calibri"/>
      <family val="2"/>
    </font>
    <font>
      <b/>
      <sz val="9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b/>
      <sz val="10"/>
      <color rgb="FF0000FF"/>
      <name val="Calibri"/>
      <family val="2"/>
    </font>
    <font>
      <sz val="10"/>
      <color rgb="FF0000FF"/>
      <name val="Calibri"/>
      <family val="2"/>
    </font>
    <font>
      <sz val="8"/>
      <color rgb="FF0000FF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scheme val="minor"/>
    </font>
    <font>
      <b/>
      <sz val="11"/>
      <color theme="1"/>
      <name val="Calibri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trike/>
      <sz val="11"/>
      <color rgb="FFFF0000"/>
      <name val="Calibri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9" fontId="0" fillId="0" borderId="8" xfId="0" applyNumberFormat="1" applyBorder="1" applyAlignment="1">
      <alignment horizontal="center" vertical="center" wrapText="1"/>
    </xf>
    <xf numFmtId="9" fontId="0" fillId="0" borderId="9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5" fillId="11" borderId="1" xfId="0" applyFont="1" applyFill="1" applyBorder="1" applyAlignment="1">
      <alignment vertical="center" wrapText="1"/>
    </xf>
    <xf numFmtId="0" fontId="17" fillId="11" borderId="1" xfId="0" applyFont="1" applyFill="1" applyBorder="1" applyAlignment="1">
      <alignment vertical="center" wrapText="1"/>
    </xf>
    <xf numFmtId="0" fontId="14" fillId="10" borderId="1" xfId="0" applyFont="1" applyFill="1" applyBorder="1" applyAlignment="1">
      <alignment vertical="center" wrapText="1"/>
    </xf>
    <xf numFmtId="0" fontId="16" fillId="11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11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9" fontId="0" fillId="12" borderId="1" xfId="0" applyNumberFormat="1" applyFill="1" applyBorder="1" applyAlignment="1">
      <alignment horizontal="center" vertical="center" wrapText="1"/>
    </xf>
    <xf numFmtId="9" fontId="0" fillId="12" borderId="6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6" xfId="0" applyBorder="1"/>
    <xf numFmtId="165" fontId="0" fillId="0" borderId="14" xfId="0" applyNumberFormat="1" applyBorder="1" applyAlignment="1">
      <alignment horizontal="center"/>
    </xf>
    <xf numFmtId="0" fontId="0" fillId="0" borderId="14" xfId="0" applyBorder="1"/>
    <xf numFmtId="0" fontId="0" fillId="0" borderId="17" xfId="0" applyBorder="1"/>
    <xf numFmtId="0" fontId="0" fillId="0" borderId="21" xfId="0" applyBorder="1"/>
    <xf numFmtId="14" fontId="0" fillId="0" borderId="0" xfId="0" applyNumberFormat="1" applyAlignment="1">
      <alignment horizontal="center"/>
    </xf>
    <xf numFmtId="0" fontId="0" fillId="0" borderId="18" xfId="0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1" xfId="0" applyBorder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/>
    </xf>
    <xf numFmtId="14" fontId="0" fillId="15" borderId="1" xfId="0" applyNumberFormat="1" applyFill="1" applyBorder="1" applyAlignment="1">
      <alignment horizontal="center"/>
    </xf>
    <xf numFmtId="1" fontId="0" fillId="16" borderId="1" xfId="0" applyNumberFormat="1" applyFill="1" applyBorder="1" applyAlignment="1">
      <alignment horizontal="center"/>
    </xf>
    <xf numFmtId="164" fontId="0" fillId="16" borderId="1" xfId="0" applyNumberFormat="1" applyFill="1" applyBorder="1" applyAlignment="1">
      <alignment horizontal="right" indent="2"/>
    </xf>
    <xf numFmtId="0" fontId="0" fillId="0" borderId="0" xfId="0" applyAlignment="1">
      <alignment wrapText="1"/>
    </xf>
    <xf numFmtId="0" fontId="0" fillId="17" borderId="1" xfId="0" applyFill="1" applyBorder="1" applyAlignment="1">
      <alignment horizontal="center"/>
    </xf>
    <xf numFmtId="0" fontId="0" fillId="0" borderId="0" xfId="0" applyAlignment="1">
      <alignment horizontal="right" indent="2"/>
    </xf>
    <xf numFmtId="0" fontId="1" fillId="0" borderId="1" xfId="0" applyFont="1" applyBorder="1" applyAlignment="1">
      <alignment horizontal="right"/>
    </xf>
    <xf numFmtId="166" fontId="0" fillId="16" borderId="1" xfId="0" applyNumberFormat="1" applyFill="1" applyBorder="1"/>
    <xf numFmtId="0" fontId="0" fillId="0" borderId="22" xfId="0" applyBorder="1"/>
    <xf numFmtId="166" fontId="0" fillId="0" borderId="19" xfId="0" applyNumberFormat="1" applyBorder="1"/>
    <xf numFmtId="0" fontId="0" fillId="0" borderId="19" xfId="0" applyBorder="1"/>
    <xf numFmtId="0" fontId="0" fillId="0" borderId="20" xfId="0" applyBorder="1"/>
    <xf numFmtId="0" fontId="1" fillId="0" borderId="0" xfId="0" applyFont="1" applyAlignment="1">
      <alignment vertical="center" wrapText="1"/>
    </xf>
    <xf numFmtId="0" fontId="18" fillId="0" borderId="16" xfId="0" applyFont="1" applyBorder="1"/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17" fontId="0" fillId="0" borderId="5" xfId="0" applyNumberFormat="1" applyBorder="1"/>
    <xf numFmtId="9" fontId="0" fillId="0" borderId="0" xfId="1" applyFont="1" applyBorder="1"/>
    <xf numFmtId="1" fontId="0" fillId="18" borderId="1" xfId="0" applyNumberFormat="1" applyFill="1" applyBorder="1"/>
    <xf numFmtId="1" fontId="0" fillId="16" borderId="1" xfId="0" applyNumberFormat="1" applyFill="1" applyBorder="1"/>
    <xf numFmtId="2" fontId="0" fillId="0" borderId="1" xfId="0" applyNumberFormat="1" applyBorder="1" applyAlignment="1">
      <alignment horizontal="right" indent="2"/>
    </xf>
    <xf numFmtId="1" fontId="0" fillId="0" borderId="1" xfId="0" applyNumberFormat="1" applyBorder="1"/>
    <xf numFmtId="0" fontId="20" fillId="0" borderId="1" xfId="0" applyFont="1" applyBorder="1"/>
    <xf numFmtId="1" fontId="20" fillId="16" borderId="1" xfId="0" applyNumberFormat="1" applyFont="1" applyFill="1" applyBorder="1"/>
    <xf numFmtId="167" fontId="23" fillId="0" borderId="1" xfId="0" applyNumberFormat="1" applyFont="1" applyBorder="1" applyAlignment="1">
      <alignment vertical="center"/>
    </xf>
    <xf numFmtId="0" fontId="0" fillId="0" borderId="0" xfId="0" quotePrefix="1"/>
    <xf numFmtId="0" fontId="1" fillId="0" borderId="5" xfId="0" applyFont="1" applyBorder="1" applyAlignment="1">
      <alignment horizontal="right"/>
    </xf>
    <xf numFmtId="166" fontId="0" fillId="19" borderId="1" xfId="2" applyNumberFormat="1" applyFont="1" applyFill="1" applyBorder="1"/>
    <xf numFmtId="166" fontId="0" fillId="19" borderId="1" xfId="2" applyNumberFormat="1" applyFont="1" applyFill="1" applyBorder="1" applyAlignment="1">
      <alignment horizontal="right"/>
    </xf>
    <xf numFmtId="166" fontId="0" fillId="19" borderId="1" xfId="2" applyNumberFormat="1" applyFont="1" applyFill="1" applyBorder="1" applyAlignment="1">
      <alignment horizontal="center"/>
    </xf>
    <xf numFmtId="167" fontId="23" fillId="19" borderId="1" xfId="0" applyNumberFormat="1" applyFont="1" applyFill="1" applyBorder="1" applyAlignment="1">
      <alignment vertical="center"/>
    </xf>
    <xf numFmtId="0" fontId="0" fillId="19" borderId="1" xfId="0" applyFill="1" applyBorder="1" applyAlignment="1">
      <alignment horizontal="center"/>
    </xf>
    <xf numFmtId="0" fontId="26" fillId="0" borderId="0" xfId="0" applyFont="1"/>
    <xf numFmtId="0" fontId="0" fillId="19" borderId="21" xfId="0" applyFill="1" applyBorder="1"/>
    <xf numFmtId="0" fontId="1" fillId="20" borderId="5" xfId="0" applyFont="1" applyFill="1" applyBorder="1" applyAlignment="1">
      <alignment horizontal="right"/>
    </xf>
    <xf numFmtId="0" fontId="1" fillId="19" borderId="5" xfId="0" applyFont="1" applyFill="1" applyBorder="1" applyAlignment="1">
      <alignment horizontal="right"/>
    </xf>
    <xf numFmtId="168" fontId="0" fillId="20" borderId="1" xfId="0" applyNumberFormat="1" applyFill="1" applyBorder="1"/>
    <xf numFmtId="0" fontId="0" fillId="21" borderId="1" xfId="0" applyFill="1" applyBorder="1" applyAlignment="1">
      <alignment horizontal="center" vertical="center" wrapText="1"/>
    </xf>
    <xf numFmtId="0" fontId="0" fillId="21" borderId="6" xfId="0" applyFill="1" applyBorder="1" applyAlignment="1">
      <alignment horizontal="center" vertical="center" wrapText="1"/>
    </xf>
    <xf numFmtId="1" fontId="0" fillId="21" borderId="8" xfId="0" applyNumberFormat="1" applyFill="1" applyBorder="1" applyAlignment="1">
      <alignment horizontal="center" vertical="center" wrapText="1"/>
    </xf>
    <xf numFmtId="1" fontId="0" fillId="21" borderId="9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21" borderId="1" xfId="0" applyNumberFormat="1" applyFill="1" applyBorder="1" applyAlignment="1">
      <alignment horizontal="center" vertical="center" wrapText="1"/>
    </xf>
    <xf numFmtId="9" fontId="0" fillId="21" borderId="6" xfId="0" applyNumberFormat="1" applyFill="1" applyBorder="1" applyAlignment="1">
      <alignment horizontal="center" vertical="center" wrapText="1"/>
    </xf>
    <xf numFmtId="1" fontId="0" fillId="21" borderId="11" xfId="0" applyNumberFormat="1" applyFill="1" applyBorder="1" applyAlignment="1">
      <alignment horizontal="center" vertical="center" wrapText="1"/>
    </xf>
    <xf numFmtId="1" fontId="0" fillId="21" borderId="12" xfId="0" applyNumberFormat="1" applyFill="1" applyBorder="1" applyAlignment="1">
      <alignment horizontal="center" vertical="center" wrapText="1"/>
    </xf>
    <xf numFmtId="1" fontId="0" fillId="21" borderId="1" xfId="0" applyNumberFormat="1" applyFill="1" applyBorder="1" applyAlignment="1">
      <alignment horizontal="center" vertical="center" wrapText="1"/>
    </xf>
    <xf numFmtId="1" fontId="0" fillId="21" borderId="6" xfId="0" applyNumberForma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12" borderId="11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vertical="center"/>
    </xf>
    <xf numFmtId="164" fontId="28" fillId="21" borderId="1" xfId="0" applyNumberFormat="1" applyFont="1" applyFill="1" applyBorder="1" applyAlignment="1">
      <alignment horizontal="center" vertical="center" wrapText="1"/>
    </xf>
    <xf numFmtId="164" fontId="28" fillId="21" borderId="8" xfId="0" applyNumberFormat="1" applyFont="1" applyFill="1" applyBorder="1" applyAlignment="1">
      <alignment horizontal="center" vertical="center" wrapText="1"/>
    </xf>
    <xf numFmtId="164" fontId="28" fillId="21" borderId="6" xfId="0" applyNumberFormat="1" applyFont="1" applyFill="1" applyBorder="1" applyAlignment="1">
      <alignment horizontal="center" vertical="center" wrapText="1"/>
    </xf>
    <xf numFmtId="164" fontId="28" fillId="21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4" borderId="32" xfId="0" applyNumberFormat="1" applyFill="1" applyBorder="1" applyAlignment="1">
      <alignment vertical="center" wrapText="1"/>
    </xf>
    <xf numFmtId="49" fontId="0" fillId="4" borderId="45" xfId="0" applyNumberForma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13" borderId="1" xfId="0" applyNumberFormat="1" applyFill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4" borderId="32" xfId="0" applyNumberFormat="1" applyFill="1" applyBorder="1" applyAlignment="1">
      <alignment horizontal="center" vertical="center" wrapText="1"/>
    </xf>
    <xf numFmtId="49" fontId="0" fillId="4" borderId="45" xfId="0" applyNumberFormat="1" applyFill="1" applyBorder="1" applyAlignment="1">
      <alignment horizontal="center" vertical="center" wrapText="1"/>
    </xf>
    <xf numFmtId="49" fontId="0" fillId="4" borderId="39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1" fillId="6" borderId="32" xfId="0" applyFont="1" applyFill="1" applyBorder="1" applyAlignment="1">
      <alignment horizontal="center"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1" fillId="6" borderId="33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0" fillId="12" borderId="1" xfId="0" applyNumberFormat="1" applyFill="1" applyBorder="1" applyAlignment="1">
      <alignment horizontal="center" vertical="center" wrapText="1"/>
    </xf>
    <xf numFmtId="1" fontId="0" fillId="12" borderId="6" xfId="0" applyNumberFormat="1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9" fontId="0" fillId="21" borderId="1" xfId="0" applyNumberFormat="1" applyFill="1" applyBorder="1" applyAlignment="1">
      <alignment horizontal="center" vertical="center" wrapText="1"/>
    </xf>
    <xf numFmtId="9" fontId="0" fillId="21" borderId="6" xfId="0" applyNumberFormat="1" applyFill="1" applyBorder="1" applyAlignment="1">
      <alignment horizontal="center" vertical="center" wrapText="1"/>
    </xf>
    <xf numFmtId="9" fontId="0" fillId="21" borderId="8" xfId="0" applyNumberFormat="1" applyFill="1" applyBorder="1" applyAlignment="1">
      <alignment horizontal="center" vertical="center" wrapText="1"/>
    </xf>
    <xf numFmtId="9" fontId="0" fillId="21" borderId="9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12" borderId="28" xfId="0" applyFill="1" applyBorder="1" applyAlignment="1">
      <alignment horizontal="center" vertical="center" wrapText="1"/>
    </xf>
    <xf numFmtId="0" fontId="0" fillId="12" borderId="23" xfId="0" applyFill="1" applyBorder="1" applyAlignment="1">
      <alignment horizontal="center" vertical="center" wrapText="1"/>
    </xf>
    <xf numFmtId="0" fontId="0" fillId="13" borderId="28" xfId="0" applyFill="1" applyBorder="1" applyAlignment="1">
      <alignment horizontal="center" vertical="center" wrapText="1"/>
    </xf>
    <xf numFmtId="0" fontId="0" fillId="13" borderId="23" xfId="0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12" borderId="1" xfId="0" applyNumberFormat="1" applyFill="1" applyBorder="1" applyAlignment="1">
      <alignment horizontal="center" vertical="center"/>
    </xf>
    <xf numFmtId="1" fontId="0" fillId="12" borderId="6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14" borderId="13" xfId="0" applyFont="1" applyFill="1" applyBorder="1" applyAlignment="1">
      <alignment horizontal="center" vertical="center" wrapText="1"/>
    </xf>
    <xf numFmtId="0" fontId="1" fillId="14" borderId="15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49" fontId="0" fillId="4" borderId="10" xfId="0" applyNumberFormat="1" applyFill="1" applyBorder="1" applyAlignment="1">
      <alignment horizontal="center" vertical="center" wrapText="1"/>
    </xf>
    <xf numFmtId="49" fontId="0" fillId="4" borderId="5" xfId="0" applyNumberFormat="1" applyFill="1" applyBorder="1" applyAlignment="1">
      <alignment horizontal="center" vertical="center" wrapText="1"/>
    </xf>
    <xf numFmtId="49" fontId="0" fillId="4" borderId="7" xfId="0" applyNumberForma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0" fontId="1" fillId="8" borderId="35" xfId="0" applyFont="1" applyFill="1" applyBorder="1" applyAlignment="1">
      <alignment horizontal="center" vertical="center" wrapText="1"/>
    </xf>
    <xf numFmtId="0" fontId="1" fillId="8" borderId="36" xfId="0" applyFont="1" applyFill="1" applyBorder="1" applyAlignment="1">
      <alignment horizontal="center" vertical="center" wrapText="1"/>
    </xf>
    <xf numFmtId="0" fontId="1" fillId="8" borderId="37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1" fontId="0" fillId="21" borderId="11" xfId="0" applyNumberFormat="1" applyFill="1" applyBorder="1" applyAlignment="1">
      <alignment horizontal="center" vertical="center" wrapText="1"/>
    </xf>
    <xf numFmtId="1" fontId="0" fillId="21" borderId="12" xfId="0" applyNumberFormat="1" applyFill="1" applyBorder="1" applyAlignment="1">
      <alignment horizontal="center" vertical="center" wrapText="1"/>
    </xf>
    <xf numFmtId="1" fontId="0" fillId="21" borderId="1" xfId="0" applyNumberFormat="1" applyFill="1" applyBorder="1" applyAlignment="1">
      <alignment horizontal="center" vertical="center" wrapText="1"/>
    </xf>
    <xf numFmtId="1" fontId="0" fillId="21" borderId="6" xfId="0" applyNumberForma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22" fillId="19" borderId="44" xfId="0" applyFont="1" applyFill="1" applyBorder="1" applyAlignment="1">
      <alignment horizontal="right" vertical="center"/>
    </xf>
    <xf numFmtId="0" fontId="23" fillId="19" borderId="4" xfId="0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2" fillId="0" borderId="44" xfId="0" applyFont="1" applyBorder="1" applyAlignment="1">
      <alignment horizontal="right" vertical="center"/>
    </xf>
    <xf numFmtId="0" fontId="23" fillId="0" borderId="4" xfId="0" applyFont="1" applyBorder="1" applyAlignment="1">
      <alignment horizontal="right" vertical="center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97</xdr:row>
      <xdr:rowOff>47625</xdr:rowOff>
    </xdr:from>
    <xdr:to>
      <xdr:col>18</xdr:col>
      <xdr:colOff>461180</xdr:colOff>
      <xdr:row>108</xdr:row>
      <xdr:rowOff>71709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2DFA490-1D7C-46CF-BE23-99ED545C6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30375" y="26146125"/>
          <a:ext cx="11587333" cy="211958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22</xdr:col>
      <xdr:colOff>403023</xdr:colOff>
      <xdr:row>97</xdr:row>
      <xdr:rowOff>66115</xdr:rowOff>
    </xdr:from>
    <xdr:to>
      <xdr:col>38</xdr:col>
      <xdr:colOff>110210</xdr:colOff>
      <xdr:row>111</xdr:row>
      <xdr:rowOff>113209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FD8C974-3FE8-43E6-ABE5-51CDC0205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16148" y="26164615"/>
          <a:ext cx="11885852" cy="271409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4ACDF-850C-476F-A18E-F1D1CAE4679E}">
  <dimension ref="C2:AC63"/>
  <sheetViews>
    <sheetView tabSelected="1" topLeftCell="F1" zoomScale="54" zoomScaleNormal="85" workbookViewId="0">
      <selection activeCell="L30" sqref="L30"/>
    </sheetView>
  </sheetViews>
  <sheetFormatPr baseColWidth="10" defaultColWidth="11.44140625" defaultRowHeight="14.4" x14ac:dyDescent="0.3"/>
  <cols>
    <col min="1" max="2" width="11.44140625" style="1"/>
    <col min="3" max="3" width="23.5546875" style="1" bestFit="1" customWidth="1"/>
    <col min="4" max="4" width="21" style="1" bestFit="1" customWidth="1"/>
    <col min="5" max="5" width="20.5546875" style="1" bestFit="1" customWidth="1"/>
    <col min="6" max="6" width="27.6640625" style="1" customWidth="1"/>
    <col min="7" max="7" width="14.109375" style="1" customWidth="1"/>
    <col min="8" max="8" width="13.5546875" style="1" customWidth="1"/>
    <col min="9" max="9" width="16.109375" style="1" customWidth="1"/>
    <col min="10" max="10" width="15.6640625" style="1" customWidth="1"/>
    <col min="11" max="11" width="18.33203125" style="1" customWidth="1"/>
    <col min="12" max="12" width="22.88671875" style="1" customWidth="1"/>
    <col min="13" max="13" width="14.33203125" style="1" customWidth="1"/>
    <col min="14" max="14" width="14.88671875" style="1" customWidth="1"/>
    <col min="15" max="15" width="16.33203125" style="1" customWidth="1"/>
    <col min="16" max="16" width="17.109375" style="1" customWidth="1"/>
    <col min="17" max="17" width="13.88671875" style="1" bestFit="1" customWidth="1"/>
    <col min="18" max="18" width="18.44140625" style="1" customWidth="1"/>
    <col min="19" max="19" width="11.44140625" style="1"/>
    <col min="20" max="20" width="24.109375" style="1" customWidth="1"/>
    <col min="21" max="21" width="42.109375" style="1" bestFit="1" customWidth="1"/>
    <col min="22" max="22" width="18.5546875" style="1" customWidth="1"/>
    <col min="23" max="23" width="26" style="1" customWidth="1"/>
    <col min="24" max="24" width="11.44140625" style="1"/>
    <col min="25" max="25" width="10.88671875" style="1" bestFit="1" customWidth="1"/>
    <col min="26" max="26" width="13.33203125" style="1" bestFit="1" customWidth="1"/>
    <col min="27" max="27" width="31" style="1" customWidth="1"/>
    <col min="28" max="28" width="47.88671875" style="1" customWidth="1"/>
    <col min="29" max="29" width="16.6640625" style="1" customWidth="1"/>
    <col min="30" max="16384" width="11.44140625" style="1"/>
  </cols>
  <sheetData>
    <row r="2" spans="3:29" ht="15" thickBot="1" x14ac:dyDescent="0.35">
      <c r="C2" s="161" t="s">
        <v>3</v>
      </c>
      <c r="D2" s="161"/>
    </row>
    <row r="3" spans="3:29" ht="15" thickBot="1" x14ac:dyDescent="0.35">
      <c r="C3" s="14" t="s">
        <v>2</v>
      </c>
      <c r="D3" s="14">
        <v>2.2999999999999998</v>
      </c>
      <c r="F3" s="162" t="s">
        <v>63</v>
      </c>
      <c r="G3" s="163"/>
    </row>
    <row r="4" spans="3:29" ht="15" thickBot="1" x14ac:dyDescent="0.35">
      <c r="C4" s="14" t="s">
        <v>1</v>
      </c>
      <c r="D4" s="14">
        <v>1</v>
      </c>
      <c r="F4" s="164" t="s">
        <v>64</v>
      </c>
      <c r="G4" s="165"/>
    </row>
    <row r="6" spans="3:29" ht="40.200000000000003" customHeight="1" thickBot="1" x14ac:dyDescent="0.35">
      <c r="V6" s="121"/>
    </row>
    <row r="7" spans="3:29" ht="25.5" customHeight="1" thickBot="1" x14ac:dyDescent="0.35">
      <c r="C7" s="145" t="s">
        <v>13</v>
      </c>
      <c r="D7" s="146"/>
      <c r="E7" s="146"/>
      <c r="F7" s="146"/>
      <c r="G7" s="146"/>
      <c r="H7" s="147"/>
      <c r="I7" s="43"/>
      <c r="K7" s="148" t="s">
        <v>72</v>
      </c>
      <c r="L7" s="149"/>
      <c r="M7" s="149"/>
      <c r="N7" s="149"/>
      <c r="O7" s="149"/>
      <c r="P7" s="149"/>
      <c r="Q7" s="149"/>
      <c r="R7" s="150"/>
      <c r="T7" s="148" t="s">
        <v>74</v>
      </c>
      <c r="U7" s="149"/>
      <c r="V7" s="149"/>
      <c r="W7" s="150"/>
      <c r="Z7" s="166" t="s">
        <v>9</v>
      </c>
      <c r="AA7" s="167"/>
      <c r="AB7" s="167"/>
      <c r="AC7" s="168"/>
    </row>
    <row r="8" spans="3:29" ht="30.75" customHeight="1" x14ac:dyDescent="0.3">
      <c r="C8" s="129" t="s">
        <v>61</v>
      </c>
      <c r="D8" s="136" t="s">
        <v>65</v>
      </c>
      <c r="E8" s="136"/>
      <c r="F8" s="118" t="s">
        <v>12</v>
      </c>
      <c r="G8" s="118" t="s">
        <v>66</v>
      </c>
      <c r="H8" s="119" t="s">
        <v>82</v>
      </c>
      <c r="I8" s="8"/>
      <c r="K8" s="154" t="s">
        <v>20</v>
      </c>
      <c r="L8" s="14" t="s">
        <v>18</v>
      </c>
      <c r="M8" s="142" t="s">
        <v>5</v>
      </c>
      <c r="N8" s="142"/>
      <c r="O8" s="142" t="s">
        <v>6</v>
      </c>
      <c r="P8" s="142"/>
      <c r="Q8" s="142" t="s">
        <v>1</v>
      </c>
      <c r="R8" s="151"/>
      <c r="T8" s="141" t="s">
        <v>186</v>
      </c>
      <c r="U8" s="142"/>
      <c r="V8" s="11">
        <f>F26+F27*N10+P10*F27</f>
        <v>70.07061538461538</v>
      </c>
      <c r="W8" s="114" t="s">
        <v>8</v>
      </c>
      <c r="X8" s="121"/>
      <c r="Z8" s="170" t="s">
        <v>188</v>
      </c>
      <c r="AA8" s="171"/>
      <c r="AB8" s="3">
        <f>((V10+V11)*F24+(V16+V17)*G24+(V22+V23)*H24)*D3</f>
        <v>248.17210228717886</v>
      </c>
      <c r="AC8" s="13" t="s">
        <v>10</v>
      </c>
    </row>
    <row r="9" spans="3:29" ht="33.75" customHeight="1" x14ac:dyDescent="0.3">
      <c r="C9" s="130"/>
      <c r="D9" s="137" t="s">
        <v>91</v>
      </c>
      <c r="E9" s="137"/>
      <c r="F9" s="115">
        <v>2671</v>
      </c>
      <c r="G9" s="115">
        <v>1427</v>
      </c>
      <c r="H9" s="116">
        <v>500</v>
      </c>
      <c r="I9" s="8"/>
      <c r="K9" s="154"/>
      <c r="L9" s="14" t="s">
        <v>8</v>
      </c>
      <c r="M9" s="14" t="s">
        <v>8</v>
      </c>
      <c r="N9" s="14" t="s">
        <v>19</v>
      </c>
      <c r="O9" s="14" t="s">
        <v>8</v>
      </c>
      <c r="P9" s="14" t="s">
        <v>19</v>
      </c>
      <c r="Q9" s="14" t="s">
        <v>8</v>
      </c>
      <c r="R9" s="15" t="s">
        <v>19</v>
      </c>
      <c r="S9" s="5"/>
      <c r="T9" s="141" t="s">
        <v>187</v>
      </c>
      <c r="U9" s="142"/>
      <c r="V9" s="6">
        <f>V8/F23</f>
        <v>0.85552021438455217</v>
      </c>
      <c r="W9" s="114" t="s">
        <v>19</v>
      </c>
    </row>
    <row r="10" spans="3:29" ht="30.75" customHeight="1" thickBot="1" x14ac:dyDescent="0.35">
      <c r="C10" s="130"/>
      <c r="D10" s="137" t="s">
        <v>92</v>
      </c>
      <c r="E10" s="137"/>
      <c r="F10" s="115">
        <v>4000</v>
      </c>
      <c r="G10" s="115">
        <v>4000</v>
      </c>
      <c r="H10" s="116">
        <v>4000</v>
      </c>
      <c r="I10" s="8"/>
      <c r="K10" s="155"/>
      <c r="L10" s="4">
        <v>50</v>
      </c>
      <c r="M10" s="4">
        <f>ROUND(5*1.1,0)</f>
        <v>6</v>
      </c>
      <c r="N10" s="9">
        <f>M10/L10</f>
        <v>0.12</v>
      </c>
      <c r="O10" s="4">
        <f>ROUND(14*1.1,0)</f>
        <v>15</v>
      </c>
      <c r="P10" s="9">
        <f>O10/L10</f>
        <v>0.3</v>
      </c>
      <c r="Q10" s="12">
        <f>ROUND((1.04+8.63+16.08)*1.1,0)</f>
        <v>28</v>
      </c>
      <c r="R10" s="10">
        <f>Q10/L10</f>
        <v>0.56000000000000005</v>
      </c>
      <c r="S10" s="5"/>
      <c r="T10" s="134" t="s">
        <v>189</v>
      </c>
      <c r="U10" s="107" t="s">
        <v>62</v>
      </c>
      <c r="V10" s="11">
        <f>$V$9*F21</f>
        <v>52.192629647745157</v>
      </c>
      <c r="W10" s="114" t="s">
        <v>8</v>
      </c>
      <c r="Z10" s="169" t="s">
        <v>11</v>
      </c>
      <c r="AA10" s="169"/>
      <c r="AB10" s="169"/>
      <c r="AC10" s="169"/>
    </row>
    <row r="11" spans="3:29" ht="30.75" customHeight="1" thickBot="1" x14ac:dyDescent="0.35">
      <c r="C11" s="130"/>
      <c r="D11" s="137" t="s">
        <v>178</v>
      </c>
      <c r="E11" s="137"/>
      <c r="F11" s="115">
        <v>15</v>
      </c>
      <c r="G11" s="115">
        <v>15</v>
      </c>
      <c r="H11" s="116" t="s">
        <v>16</v>
      </c>
      <c r="I11" s="8"/>
      <c r="K11" s="8"/>
      <c r="L11" s="5"/>
      <c r="M11" s="5"/>
      <c r="N11" s="41"/>
      <c r="O11" s="5"/>
      <c r="P11" s="41"/>
      <c r="Q11" s="42"/>
      <c r="R11" s="41"/>
      <c r="S11" s="5"/>
      <c r="T11" s="135"/>
      <c r="U11" s="117" t="s">
        <v>1</v>
      </c>
      <c r="V11" s="12">
        <f>$V$9*F22</f>
        <v>11.319958252173974</v>
      </c>
      <c r="W11" s="2" t="s">
        <v>8</v>
      </c>
      <c r="Z11" s="186" t="s">
        <v>0</v>
      </c>
      <c r="AA11" s="187"/>
      <c r="AB11" s="143">
        <f>(V10*F24+V16*G24+V22*H24)*D3</f>
        <v>203.93995980745652</v>
      </c>
      <c r="AC11" s="144"/>
    </row>
    <row r="12" spans="3:29" ht="30.75" customHeight="1" thickBot="1" x14ac:dyDescent="0.35">
      <c r="C12" s="130"/>
      <c r="D12" s="204" t="s">
        <v>179</v>
      </c>
      <c r="E12" s="204"/>
      <c r="F12" s="44">
        <v>0.7</v>
      </c>
      <c r="G12" s="44">
        <v>0.7</v>
      </c>
      <c r="H12" s="45">
        <v>0.38</v>
      </c>
      <c r="I12" s="8"/>
      <c r="K12" s="8"/>
      <c r="L12" s="5"/>
      <c r="M12" s="5"/>
      <c r="N12" s="41"/>
      <c r="O12" s="5"/>
      <c r="P12" s="41"/>
      <c r="Q12" s="42"/>
      <c r="R12" s="41"/>
      <c r="S12" s="5"/>
      <c r="T12" s="46"/>
      <c r="Z12" s="186" t="s">
        <v>1</v>
      </c>
      <c r="AA12" s="187"/>
      <c r="AB12" s="143">
        <f>(V11*F24+V17*G24+V23*H24)*D4</f>
        <v>19.231366295531469</v>
      </c>
      <c r="AC12" s="144"/>
    </row>
    <row r="13" spans="3:29" ht="30.75" customHeight="1" x14ac:dyDescent="0.3">
      <c r="C13" s="130"/>
      <c r="D13" s="137" t="s">
        <v>15</v>
      </c>
      <c r="E13" s="137"/>
      <c r="F13" s="184" t="s">
        <v>17</v>
      </c>
      <c r="G13" s="184"/>
      <c r="H13" s="185"/>
      <c r="I13" s="121"/>
      <c r="K13" s="148" t="s">
        <v>73</v>
      </c>
      <c r="L13" s="149"/>
      <c r="M13" s="149"/>
      <c r="N13" s="149"/>
      <c r="O13" s="149"/>
      <c r="P13" s="149"/>
      <c r="Q13" s="149"/>
      <c r="R13" s="150"/>
      <c r="S13" s="5"/>
      <c r="T13" s="148" t="s">
        <v>93</v>
      </c>
      <c r="U13" s="149"/>
      <c r="V13" s="149"/>
      <c r="W13" s="150"/>
      <c r="Z13" s="170" t="s">
        <v>188</v>
      </c>
      <c r="AA13" s="171"/>
      <c r="AB13" s="3">
        <f>AB11+AB12</f>
        <v>223.17132610298799</v>
      </c>
      <c r="AC13" s="48" t="s">
        <v>10</v>
      </c>
    </row>
    <row r="14" spans="3:29" ht="30.75" customHeight="1" x14ac:dyDescent="0.3">
      <c r="C14" s="130"/>
      <c r="D14" s="131" t="s">
        <v>60</v>
      </c>
      <c r="E14" s="132">
        <v>200</v>
      </c>
      <c r="F14" s="184">
        <v>105</v>
      </c>
      <c r="G14" s="184"/>
      <c r="H14" s="185"/>
      <c r="K14" s="154" t="s">
        <v>20</v>
      </c>
      <c r="L14" s="14" t="s">
        <v>18</v>
      </c>
      <c r="M14" s="142" t="s">
        <v>5</v>
      </c>
      <c r="N14" s="142"/>
      <c r="O14" s="142" t="s">
        <v>6</v>
      </c>
      <c r="P14" s="142"/>
      <c r="Q14" s="142" t="s">
        <v>1</v>
      </c>
      <c r="R14" s="151"/>
      <c r="S14" s="5"/>
      <c r="T14" s="141" t="s">
        <v>186</v>
      </c>
      <c r="U14" s="142"/>
      <c r="V14" s="11">
        <f>G26+N16*G27+P16*G27</f>
        <v>66.546761538461539</v>
      </c>
      <c r="W14" s="17" t="s">
        <v>8</v>
      </c>
      <c r="X14" s="8"/>
      <c r="Y14" s="8"/>
    </row>
    <row r="15" spans="3:29" ht="30.75" customHeight="1" x14ac:dyDescent="0.3">
      <c r="C15" s="130"/>
      <c r="D15" s="137" t="s">
        <v>174</v>
      </c>
      <c r="E15" s="131" t="s">
        <v>2</v>
      </c>
      <c r="F15" s="188">
        <v>1383202</v>
      </c>
      <c r="G15" s="188"/>
      <c r="H15" s="189"/>
      <c r="I15" s="8"/>
      <c r="K15" s="154"/>
      <c r="L15" s="14" t="s">
        <v>8</v>
      </c>
      <c r="M15" s="14" t="s">
        <v>8</v>
      </c>
      <c r="N15" s="14" t="s">
        <v>19</v>
      </c>
      <c r="O15" s="14" t="s">
        <v>8</v>
      </c>
      <c r="P15" s="14" t="s">
        <v>19</v>
      </c>
      <c r="Q15" s="14" t="s">
        <v>8</v>
      </c>
      <c r="R15" s="15" t="s">
        <v>19</v>
      </c>
      <c r="T15" s="141" t="s">
        <v>187</v>
      </c>
      <c r="U15" s="142"/>
      <c r="V15" s="6">
        <f>V14/G23</f>
        <v>0.90522600796290265</v>
      </c>
      <c r="W15" s="17" t="s">
        <v>19</v>
      </c>
      <c r="X15" s="8"/>
      <c r="Y15" s="8"/>
    </row>
    <row r="16" spans="3:29" ht="30.75" customHeight="1" thickBot="1" x14ac:dyDescent="0.35">
      <c r="C16" s="130"/>
      <c r="D16" s="137"/>
      <c r="E16" s="131" t="s">
        <v>1</v>
      </c>
      <c r="F16" s="152">
        <v>300000</v>
      </c>
      <c r="G16" s="152"/>
      <c r="H16" s="153"/>
      <c r="I16" s="8"/>
      <c r="K16" s="155"/>
      <c r="L16" s="4">
        <v>50</v>
      </c>
      <c r="M16" s="4">
        <f>ROUND(5*1.1,0)</f>
        <v>6</v>
      </c>
      <c r="N16" s="9">
        <f>M16/L16</f>
        <v>0.12</v>
      </c>
      <c r="O16" s="4">
        <f>ROUND(14*1.1,0)</f>
        <v>15</v>
      </c>
      <c r="P16" s="9">
        <f>O16/L16</f>
        <v>0.3</v>
      </c>
      <c r="Q16" s="12">
        <f>ROUND((1.04+8.63+16.08)*1.1,0)</f>
        <v>28</v>
      </c>
      <c r="R16" s="10">
        <f>Q16/L16</f>
        <v>0.56000000000000005</v>
      </c>
      <c r="T16" s="134" t="s">
        <v>189</v>
      </c>
      <c r="U16" s="16" t="s">
        <v>62</v>
      </c>
      <c r="V16" s="11">
        <f>$V$15*G21</f>
        <v>49.567860367276261</v>
      </c>
      <c r="W16" s="17" t="s">
        <v>8</v>
      </c>
      <c r="X16" s="8"/>
      <c r="Y16" s="8"/>
    </row>
    <row r="17" spans="3:23" ht="30" customHeight="1" thickBot="1" x14ac:dyDescent="0.35">
      <c r="C17" s="130"/>
      <c r="D17" s="137" t="s">
        <v>175</v>
      </c>
      <c r="E17" s="131" t="s">
        <v>2</v>
      </c>
      <c r="F17" s="157">
        <f>F15/(F15+F16)</f>
        <v>0.82176827261374452</v>
      </c>
      <c r="G17" s="157"/>
      <c r="H17" s="158"/>
      <c r="I17" s="8"/>
      <c r="T17" s="135"/>
      <c r="U17" s="32" t="s">
        <v>1</v>
      </c>
      <c r="V17" s="12">
        <f>$V$15*G22</f>
        <v>10.750677131888818</v>
      </c>
      <c r="W17" s="2" t="s">
        <v>8</v>
      </c>
    </row>
    <row r="18" spans="3:23" ht="30" customHeight="1" thickBot="1" x14ac:dyDescent="0.35">
      <c r="C18" s="130"/>
      <c r="D18" s="156"/>
      <c r="E18" s="133" t="s">
        <v>1</v>
      </c>
      <c r="F18" s="159">
        <f>F16/(F15+F16)</f>
        <v>0.17823172738625548</v>
      </c>
      <c r="G18" s="159"/>
      <c r="H18" s="160"/>
      <c r="I18" s="8"/>
      <c r="T18" s="7"/>
    </row>
    <row r="19" spans="3:23" ht="30" customHeight="1" x14ac:dyDescent="0.3">
      <c r="C19" s="138" t="s">
        <v>176</v>
      </c>
      <c r="D19" s="136" t="s">
        <v>177</v>
      </c>
      <c r="E19" s="128" t="s">
        <v>2</v>
      </c>
      <c r="F19" s="220">
        <f>'Ajustement climatique'!B108*F17/SUM(F9:H9)</f>
        <v>289.4240475846513</v>
      </c>
      <c r="G19" s="220"/>
      <c r="H19" s="221"/>
      <c r="K19" s="205" t="s">
        <v>83</v>
      </c>
      <c r="L19" s="206"/>
      <c r="M19" s="206"/>
      <c r="N19" s="206"/>
      <c r="O19" s="206"/>
      <c r="P19" s="206"/>
      <c r="Q19" s="206"/>
      <c r="R19" s="207"/>
      <c r="T19" s="148" t="s">
        <v>94</v>
      </c>
      <c r="U19" s="149"/>
      <c r="V19" s="149"/>
      <c r="W19" s="150"/>
    </row>
    <row r="20" spans="3:23" ht="42.75" customHeight="1" x14ac:dyDescent="0.3">
      <c r="C20" s="139"/>
      <c r="D20" s="137"/>
      <c r="E20" s="131" t="s">
        <v>1</v>
      </c>
      <c r="F20" s="222">
        <f>'Ajustement climatique'!B108*F18/SUM(F9:H9)</f>
        <v>62.772620539440652</v>
      </c>
      <c r="G20" s="222"/>
      <c r="H20" s="223"/>
      <c r="K20" s="154" t="s">
        <v>20</v>
      </c>
      <c r="L20" s="14" t="s">
        <v>18</v>
      </c>
      <c r="M20" s="142" t="s">
        <v>5</v>
      </c>
      <c r="N20" s="142"/>
      <c r="O20" s="142" t="s">
        <v>6</v>
      </c>
      <c r="P20" s="142"/>
      <c r="Q20" s="142" t="s">
        <v>1</v>
      </c>
      <c r="R20" s="151"/>
      <c r="T20" s="141" t="s">
        <v>186</v>
      </c>
      <c r="U20" s="142"/>
      <c r="V20" s="11">
        <f>H26+H27*N22+H27*P22</f>
        <v>152.79869963369961</v>
      </c>
      <c r="W20" s="17" t="s">
        <v>8</v>
      </c>
    </row>
    <row r="21" spans="3:23" ht="37.5" customHeight="1" x14ac:dyDescent="0.3">
      <c r="C21" s="139"/>
      <c r="D21" s="137" t="s">
        <v>182</v>
      </c>
      <c r="E21" s="131" t="s">
        <v>2</v>
      </c>
      <c r="F21" s="123">
        <f>$F$19*F24</f>
        <v>61.006892379850683</v>
      </c>
      <c r="G21" s="123">
        <f>$F$19*G24</f>
        <v>54.757441712067575</v>
      </c>
      <c r="H21" s="125">
        <f>$F$19*H24</f>
        <v>173.65971349273306</v>
      </c>
      <c r="K21" s="154"/>
      <c r="L21" s="14" t="s">
        <v>8</v>
      </c>
      <c r="M21" s="14" t="s">
        <v>8</v>
      </c>
      <c r="N21" s="14" t="s">
        <v>19</v>
      </c>
      <c r="O21" s="14" t="s">
        <v>8</v>
      </c>
      <c r="P21" s="14" t="s">
        <v>19</v>
      </c>
      <c r="Q21" s="14" t="s">
        <v>8</v>
      </c>
      <c r="R21" s="15" t="s">
        <v>19</v>
      </c>
      <c r="T21" s="141" t="s">
        <v>187</v>
      </c>
      <c r="U21" s="142"/>
      <c r="V21" s="6">
        <f>V20/H23</f>
        <v>0.65538096746752028</v>
      </c>
      <c r="W21" s="17" t="s">
        <v>19</v>
      </c>
    </row>
    <row r="22" spans="3:23" ht="54" customHeight="1" thickBot="1" x14ac:dyDescent="0.35">
      <c r="C22" s="140"/>
      <c r="D22" s="156"/>
      <c r="E22" s="133" t="s">
        <v>1</v>
      </c>
      <c r="F22" s="124">
        <f>$F$20*F24</f>
        <v>13.23166660686957</v>
      </c>
      <c r="G22" s="124">
        <f>$F$20*G24</f>
        <v>11.876235368095383</v>
      </c>
      <c r="H22" s="126">
        <f>$F$20*H24</f>
        <v>37.664718564475699</v>
      </c>
      <c r="K22" s="155"/>
      <c r="L22" s="4">
        <v>109</v>
      </c>
      <c r="M22" s="4">
        <f>ROUND(6.3*1.1,0)</f>
        <v>7</v>
      </c>
      <c r="N22" s="9">
        <f>M22/L22</f>
        <v>6.4220183486238536E-2</v>
      </c>
      <c r="O22" s="4">
        <f>ROUND(16.42*1.1,0)</f>
        <v>18</v>
      </c>
      <c r="P22" s="9">
        <f>O22/L22</f>
        <v>0.16513761467889909</v>
      </c>
      <c r="Q22" s="12">
        <f>ROUND((80+0.35)*1.1,0)</f>
        <v>88</v>
      </c>
      <c r="R22" s="10">
        <f>Q22/L22</f>
        <v>0.80733944954128445</v>
      </c>
      <c r="T22" s="134" t="s">
        <v>189</v>
      </c>
      <c r="U22" s="16" t="s">
        <v>62</v>
      </c>
      <c r="V22" s="11">
        <f>$V$21*H21</f>
        <v>113.81327103899977</v>
      </c>
      <c r="W22" s="17" t="s">
        <v>8</v>
      </c>
    </row>
    <row r="23" spans="3:23" ht="48" customHeight="1" thickBot="1" x14ac:dyDescent="0.35">
      <c r="C23" s="196" t="s">
        <v>14</v>
      </c>
      <c r="D23" s="136" t="s">
        <v>7</v>
      </c>
      <c r="E23" s="128" t="s">
        <v>181</v>
      </c>
      <c r="F23" s="110">
        <f>F26+F27</f>
        <v>81.904102564102573</v>
      </c>
      <c r="G23" s="110">
        <f>G26+G27</f>
        <v>73.513974358974352</v>
      </c>
      <c r="H23" s="111">
        <f>H26+H27</f>
        <v>233.14485347985345</v>
      </c>
      <c r="I23" s="8"/>
      <c r="T23" s="135"/>
      <c r="U23" s="32" t="s">
        <v>1</v>
      </c>
      <c r="V23" s="12">
        <f>$V$21*H22</f>
        <v>24.684739692177956</v>
      </c>
      <c r="W23" s="2" t="s">
        <v>8</v>
      </c>
    </row>
    <row r="24" spans="3:23" ht="31.5" customHeight="1" x14ac:dyDescent="0.3">
      <c r="C24" s="197"/>
      <c r="D24" s="137"/>
      <c r="E24" s="131" t="s">
        <v>180</v>
      </c>
      <c r="F24" s="108">
        <f>F23/($F$23+$G$23+$H$23)</f>
        <v>0.21078722686996929</v>
      </c>
      <c r="G24" s="108">
        <f>G23/($F$23+$G$23+$H$23)</f>
        <v>0.18919451292675329</v>
      </c>
      <c r="H24" s="109">
        <f>H23/($F$23+$G$23+$H$23)</f>
        <v>0.60001826020327742</v>
      </c>
      <c r="I24" s="120"/>
      <c r="T24" s="8"/>
    </row>
    <row r="25" spans="3:23" ht="32.4" customHeight="1" x14ac:dyDescent="0.3">
      <c r="C25" s="197"/>
      <c r="D25" s="137" t="s">
        <v>183</v>
      </c>
      <c r="E25" s="137"/>
      <c r="F25" s="103">
        <f>INDEX($E$49:$L$53,MATCH($E$14,$D$49:$D$53,0),MATCH($F$13,$E$48:$L$48,0))</f>
        <v>57</v>
      </c>
      <c r="G25" s="103">
        <f>INDEX($E$49:$L$53,MATCH($E$14,$D$49:$D$53,0),MATCH($F$13,$E$48:$L$48,0))</f>
        <v>57</v>
      </c>
      <c r="H25" s="104">
        <f>INDEX($E$59:$L$63,MATCH($E$14,$D$59:$D$63,0),MATCH($F$13,$E$58:$L$58,0))</f>
        <v>132</v>
      </c>
      <c r="I25" s="120"/>
      <c r="T25" s="5"/>
    </row>
    <row r="26" spans="3:23" ht="28.95" customHeight="1" x14ac:dyDescent="0.3">
      <c r="C26" s="197"/>
      <c r="D26" s="137" t="s">
        <v>184</v>
      </c>
      <c r="E26" s="137"/>
      <c r="F26" s="112">
        <f>F25+0.28*(F25)*($F$10-$J$41)/$J$41</f>
        <v>61.501538461538459</v>
      </c>
      <c r="G26" s="112">
        <f>G25+0.28*$G$25*($G$10-$S$41)/$S$41</f>
        <v>61.501538461538459</v>
      </c>
      <c r="H26" s="113">
        <f>H25+0.28*$H$25*($H$10-$AA$41)/$AA$41</f>
        <v>128.88615384615383</v>
      </c>
      <c r="I26" s="120"/>
      <c r="T26" s="46"/>
    </row>
    <row r="27" spans="3:23" ht="30" customHeight="1" thickBot="1" x14ac:dyDescent="0.35">
      <c r="C27" s="198"/>
      <c r="D27" s="156" t="s">
        <v>185</v>
      </c>
      <c r="E27" s="156"/>
      <c r="F27" s="105">
        <f>$G$38*$F$10/$J$41*(69%*$F$12/$J$43*$J$42/$F$11+1-69%)</f>
        <v>20.40256410256411</v>
      </c>
      <c r="G27" s="105">
        <f>$P$38*($G$10/$S$41)*(79%*($G$12/$S$43)*($S$42/$G$11)+(1-79%))</f>
        <v>12.012435897435896</v>
      </c>
      <c r="H27" s="106">
        <f>$X$38*(($H$12*29+(1-$H$12)*117)/$AA$45)*($H$10/$AA$41)</f>
        <v>104.25869963369962</v>
      </c>
      <c r="I27" s="122"/>
      <c r="T27" s="46"/>
    </row>
    <row r="28" spans="3:23" ht="33.6" customHeight="1" x14ac:dyDescent="0.3">
      <c r="I28" s="122"/>
      <c r="T28" s="46"/>
    </row>
    <row r="29" spans="3:23" ht="33.6" customHeight="1" x14ac:dyDescent="0.3">
      <c r="I29" s="8"/>
      <c r="T29" s="46"/>
    </row>
    <row r="30" spans="3:23" ht="33.6" customHeight="1" x14ac:dyDescent="0.3">
      <c r="I30" s="127"/>
      <c r="T30" s="5"/>
    </row>
    <row r="31" spans="3:23" x14ac:dyDescent="0.3">
      <c r="T31" s="5"/>
    </row>
    <row r="35" spans="3:27" ht="26.4" customHeight="1" x14ac:dyDescent="0.3"/>
    <row r="36" spans="3:27" ht="15" customHeight="1" x14ac:dyDescent="0.3"/>
    <row r="37" spans="3:27" ht="14.4" customHeight="1" x14ac:dyDescent="0.3">
      <c r="C37" s="201" t="s">
        <v>68</v>
      </c>
      <c r="D37" s="202"/>
      <c r="E37" s="202"/>
      <c r="F37" s="202"/>
      <c r="G37" s="202"/>
      <c r="H37" s="202"/>
      <c r="I37" s="202"/>
      <c r="J37" s="203"/>
      <c r="L37" s="212" t="s">
        <v>80</v>
      </c>
      <c r="M37" s="212"/>
      <c r="N37" s="212"/>
      <c r="O37" s="212"/>
      <c r="P37" s="212"/>
      <c r="Q37" s="212"/>
      <c r="R37" s="212"/>
      <c r="S37" s="212"/>
      <c r="U37" s="229" t="s">
        <v>95</v>
      </c>
      <c r="V37" s="230"/>
      <c r="W37" s="230"/>
      <c r="X37" s="230"/>
      <c r="Y37" s="230"/>
      <c r="Z37" s="230"/>
      <c r="AA37" s="231"/>
    </row>
    <row r="38" spans="3:27" ht="61.95" customHeight="1" x14ac:dyDescent="0.3">
      <c r="C38" s="18" t="s">
        <v>21</v>
      </c>
      <c r="D38" s="178"/>
      <c r="E38" s="179"/>
      <c r="F38" s="19" t="s">
        <v>22</v>
      </c>
      <c r="G38" s="20">
        <v>50</v>
      </c>
      <c r="H38" s="19" t="s">
        <v>23</v>
      </c>
      <c r="I38" s="180" t="s">
        <v>24</v>
      </c>
      <c r="J38" s="181"/>
      <c r="L38" s="18" t="s">
        <v>21</v>
      </c>
      <c r="M38" s="213"/>
      <c r="N38" s="213"/>
      <c r="O38" s="19" t="s">
        <v>22</v>
      </c>
      <c r="P38" s="20">
        <v>43</v>
      </c>
      <c r="Q38" s="19" t="s">
        <v>23</v>
      </c>
      <c r="R38" s="199" t="s">
        <v>75</v>
      </c>
      <c r="S38" s="199"/>
      <c r="U38" s="18" t="s">
        <v>21</v>
      </c>
      <c r="V38" s="18"/>
      <c r="W38" s="19" t="s">
        <v>22</v>
      </c>
      <c r="X38" s="40">
        <v>109</v>
      </c>
      <c r="Y38" s="19" t="s">
        <v>23</v>
      </c>
      <c r="Z38" s="199" t="s">
        <v>84</v>
      </c>
      <c r="AA38" s="199"/>
    </row>
    <row r="39" spans="3:27" ht="14.4" customHeight="1" x14ac:dyDescent="0.3">
      <c r="C39" s="195" t="s">
        <v>25</v>
      </c>
      <c r="D39" s="214" t="s">
        <v>26</v>
      </c>
      <c r="E39" s="215"/>
      <c r="F39" s="215"/>
      <c r="G39" s="215"/>
      <c r="H39" s="216"/>
      <c r="I39" s="195" t="s">
        <v>28</v>
      </c>
      <c r="J39" s="195"/>
      <c r="L39" s="195" t="s">
        <v>25</v>
      </c>
      <c r="M39" s="195" t="s">
        <v>26</v>
      </c>
      <c r="N39" s="195"/>
      <c r="O39" s="195"/>
      <c r="P39" s="195"/>
      <c r="Q39" s="195"/>
      <c r="R39" s="195" t="s">
        <v>28</v>
      </c>
      <c r="S39" s="195"/>
      <c r="U39" s="195" t="s">
        <v>25</v>
      </c>
      <c r="V39" s="214" t="s">
        <v>26</v>
      </c>
      <c r="W39" s="215"/>
      <c r="X39" s="215"/>
      <c r="Y39" s="216"/>
      <c r="Z39" s="195" t="s">
        <v>28</v>
      </c>
      <c r="AA39" s="195"/>
    </row>
    <row r="40" spans="3:27" ht="41.4" customHeight="1" x14ac:dyDescent="0.3">
      <c r="C40" s="195"/>
      <c r="D40" s="217" t="s">
        <v>27</v>
      </c>
      <c r="E40" s="218"/>
      <c r="F40" s="218"/>
      <c r="G40" s="218"/>
      <c r="H40" s="219"/>
      <c r="I40" s="195"/>
      <c r="J40" s="195"/>
      <c r="L40" s="195"/>
      <c r="M40" s="200" t="s">
        <v>27</v>
      </c>
      <c r="N40" s="200"/>
      <c r="O40" s="200"/>
      <c r="P40" s="200"/>
      <c r="Q40" s="200"/>
      <c r="R40" s="195"/>
      <c r="S40" s="195"/>
      <c r="U40" s="195"/>
      <c r="V40" s="217" t="s">
        <v>27</v>
      </c>
      <c r="W40" s="218"/>
      <c r="X40" s="218"/>
      <c r="Y40" s="219"/>
      <c r="Z40" s="195"/>
      <c r="AA40" s="195"/>
    </row>
    <row r="41" spans="3:27" ht="84" x14ac:dyDescent="0.3">
      <c r="C41" s="21" t="s">
        <v>29</v>
      </c>
      <c r="D41" s="175" t="s">
        <v>30</v>
      </c>
      <c r="E41" s="176"/>
      <c r="F41" s="176"/>
      <c r="G41" s="177"/>
      <c r="H41" s="22">
        <v>3120</v>
      </c>
      <c r="I41" s="20" t="s">
        <v>31</v>
      </c>
      <c r="J41" s="23">
        <v>3120</v>
      </c>
      <c r="L41" s="21" t="s">
        <v>29</v>
      </c>
      <c r="M41" s="182" t="s">
        <v>76</v>
      </c>
      <c r="N41" s="182"/>
      <c r="O41" s="182"/>
      <c r="P41" s="182"/>
      <c r="Q41" s="22">
        <v>3120</v>
      </c>
      <c r="R41" s="20" t="s">
        <v>77</v>
      </c>
      <c r="S41" s="23">
        <v>3120</v>
      </c>
      <c r="U41" s="21" t="s">
        <v>29</v>
      </c>
      <c r="V41" s="175" t="s">
        <v>30</v>
      </c>
      <c r="W41" s="176"/>
      <c r="X41" s="177"/>
      <c r="Y41" s="22">
        <v>4368</v>
      </c>
      <c r="Z41" s="20" t="s">
        <v>31</v>
      </c>
      <c r="AA41" s="23">
        <v>4368</v>
      </c>
    </row>
    <row r="42" spans="3:27" ht="78.599999999999994" customHeight="1" x14ac:dyDescent="0.3">
      <c r="C42" s="182" t="s">
        <v>32</v>
      </c>
      <c r="D42" s="182" t="s">
        <v>33</v>
      </c>
      <c r="E42" s="182">
        <v>18</v>
      </c>
      <c r="F42" s="208" t="s">
        <v>34</v>
      </c>
      <c r="G42" s="209"/>
      <c r="H42" s="182">
        <v>70</v>
      </c>
      <c r="I42" s="24" t="s">
        <v>35</v>
      </c>
      <c r="J42" s="20">
        <v>18</v>
      </c>
      <c r="L42" s="182" t="s">
        <v>32</v>
      </c>
      <c r="M42" s="182" t="s">
        <v>33</v>
      </c>
      <c r="N42" s="182">
        <v>15</v>
      </c>
      <c r="O42" s="182" t="s">
        <v>69</v>
      </c>
      <c r="P42" s="182"/>
      <c r="Q42" s="182">
        <v>70</v>
      </c>
      <c r="R42" s="24" t="s">
        <v>78</v>
      </c>
      <c r="S42" s="20">
        <v>15</v>
      </c>
      <c r="U42" s="182" t="s">
        <v>32</v>
      </c>
      <c r="V42" s="208" t="s">
        <v>85</v>
      </c>
      <c r="W42" s="224"/>
      <c r="X42" s="209"/>
      <c r="Y42" s="232">
        <v>0.38</v>
      </c>
      <c r="Z42" s="21" t="s">
        <v>86</v>
      </c>
      <c r="AA42" s="20">
        <v>38</v>
      </c>
    </row>
    <row r="43" spans="3:27" ht="82.95" customHeight="1" x14ac:dyDescent="0.3">
      <c r="C43" s="182"/>
      <c r="D43" s="182"/>
      <c r="E43" s="182"/>
      <c r="F43" s="210"/>
      <c r="G43" s="211"/>
      <c r="H43" s="182"/>
      <c r="I43" s="20" t="s">
        <v>36</v>
      </c>
      <c r="J43" s="20">
        <v>70</v>
      </c>
      <c r="L43" s="182"/>
      <c r="M43" s="182"/>
      <c r="N43" s="182"/>
      <c r="O43" s="183" t="s">
        <v>70</v>
      </c>
      <c r="P43" s="183"/>
      <c r="Q43" s="182"/>
      <c r="R43" s="20" t="s">
        <v>71</v>
      </c>
      <c r="S43" s="20">
        <v>70</v>
      </c>
      <c r="U43" s="182"/>
      <c r="V43" s="225"/>
      <c r="W43" s="226"/>
      <c r="X43" s="227"/>
      <c r="Y43" s="232"/>
      <c r="Z43" s="21" t="s">
        <v>87</v>
      </c>
      <c r="AA43" s="20">
        <v>29</v>
      </c>
    </row>
    <row r="44" spans="3:27" ht="55.2" customHeight="1" x14ac:dyDescent="0.3">
      <c r="C44" s="21" t="s">
        <v>37</v>
      </c>
      <c r="D44" s="190" t="s">
        <v>38</v>
      </c>
      <c r="E44" s="191"/>
      <c r="F44" s="191"/>
      <c r="G44" s="191"/>
      <c r="H44" s="191"/>
      <c r="I44" s="191"/>
      <c r="J44" s="192"/>
      <c r="L44" s="21" t="s">
        <v>37</v>
      </c>
      <c r="M44" s="183" t="s">
        <v>79</v>
      </c>
      <c r="N44" s="183"/>
      <c r="O44" s="183"/>
      <c r="P44" s="183"/>
      <c r="Q44" s="183"/>
      <c r="R44" s="183"/>
      <c r="S44" s="183"/>
      <c r="U44" s="182"/>
      <c r="V44" s="225"/>
      <c r="W44" s="226"/>
      <c r="X44" s="227"/>
      <c r="Y44" s="232"/>
      <c r="Z44" s="21" t="s">
        <v>88</v>
      </c>
      <c r="AA44" s="20">
        <v>117</v>
      </c>
    </row>
    <row r="45" spans="3:27" ht="42.6" x14ac:dyDescent="0.3">
      <c r="U45" s="182"/>
      <c r="V45" s="210"/>
      <c r="W45" s="228"/>
      <c r="X45" s="211"/>
      <c r="Y45" s="232"/>
      <c r="Z45" s="21" t="s">
        <v>89</v>
      </c>
      <c r="AA45" s="20">
        <v>80</v>
      </c>
    </row>
    <row r="46" spans="3:27" ht="69" customHeight="1" x14ac:dyDescent="0.3">
      <c r="U46" s="21" t="s">
        <v>37</v>
      </c>
      <c r="V46" s="190" t="s">
        <v>90</v>
      </c>
      <c r="W46" s="191"/>
      <c r="X46" s="191"/>
      <c r="Y46" s="191"/>
      <c r="Z46" s="191"/>
      <c r="AA46" s="192"/>
    </row>
    <row r="47" spans="3:27" ht="14.4" customHeight="1" x14ac:dyDescent="0.3">
      <c r="C47" s="193" t="s">
        <v>67</v>
      </c>
      <c r="D47" s="18" t="s">
        <v>4</v>
      </c>
      <c r="E47" s="172" t="s">
        <v>40</v>
      </c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4"/>
    </row>
    <row r="48" spans="3:27" x14ac:dyDescent="0.3">
      <c r="C48" s="194"/>
      <c r="D48" s="25" t="s">
        <v>39</v>
      </c>
      <c r="E48" s="26" t="s">
        <v>17</v>
      </c>
      <c r="F48" s="26" t="s">
        <v>41</v>
      </c>
      <c r="G48" s="26" t="s">
        <v>42</v>
      </c>
      <c r="H48" s="26" t="s">
        <v>43</v>
      </c>
      <c r="I48" s="26" t="s">
        <v>44</v>
      </c>
      <c r="J48" s="26" t="s">
        <v>45</v>
      </c>
      <c r="K48" s="26" t="s">
        <v>46</v>
      </c>
      <c r="L48" s="26" t="s">
        <v>47</v>
      </c>
      <c r="M48" s="26" t="s">
        <v>48</v>
      </c>
      <c r="N48" s="26" t="s">
        <v>49</v>
      </c>
      <c r="O48" s="26" t="s">
        <v>50</v>
      </c>
      <c r="P48" s="26" t="s">
        <v>51</v>
      </c>
      <c r="Q48" s="26" t="s">
        <v>52</v>
      </c>
    </row>
    <row r="49" spans="3:17" x14ac:dyDescent="0.3">
      <c r="C49" s="14" t="s">
        <v>55</v>
      </c>
      <c r="D49" s="21">
        <v>200</v>
      </c>
      <c r="E49" s="21">
        <v>57</v>
      </c>
      <c r="F49" s="21">
        <v>66</v>
      </c>
      <c r="G49" s="21">
        <v>62</v>
      </c>
      <c r="H49" s="21">
        <v>57</v>
      </c>
      <c r="I49" s="21">
        <v>50</v>
      </c>
      <c r="J49" s="21">
        <v>56</v>
      </c>
      <c r="K49" s="21">
        <v>63</v>
      </c>
      <c r="L49" s="21">
        <v>40</v>
      </c>
      <c r="M49" s="27" t="s">
        <v>53</v>
      </c>
      <c r="N49" s="27" t="s">
        <v>53</v>
      </c>
      <c r="O49" s="27" t="s">
        <v>53</v>
      </c>
      <c r="P49" s="27" t="s">
        <v>53</v>
      </c>
      <c r="Q49" s="27" t="s">
        <v>54</v>
      </c>
    </row>
    <row r="50" spans="3:17" x14ac:dyDescent="0.3">
      <c r="C50" s="14" t="s">
        <v>56</v>
      </c>
      <c r="D50" s="21">
        <v>600</v>
      </c>
      <c r="E50" s="21">
        <v>68</v>
      </c>
      <c r="F50" s="21">
        <v>77</v>
      </c>
      <c r="G50" s="21">
        <v>71</v>
      </c>
      <c r="H50" s="28"/>
      <c r="I50" s="21">
        <v>61</v>
      </c>
      <c r="J50" s="21">
        <v>64</v>
      </c>
      <c r="K50" s="21">
        <v>66</v>
      </c>
      <c r="L50" s="21">
        <v>44</v>
      </c>
      <c r="M50" s="27" t="s">
        <v>53</v>
      </c>
      <c r="N50" s="27" t="s">
        <v>53</v>
      </c>
      <c r="O50" s="27" t="s">
        <v>53</v>
      </c>
      <c r="P50" s="29"/>
      <c r="Q50" s="27" t="s">
        <v>53</v>
      </c>
    </row>
    <row r="51" spans="3:17" x14ac:dyDescent="0.3">
      <c r="C51" s="14" t="s">
        <v>57</v>
      </c>
      <c r="D51" s="21">
        <v>1000</v>
      </c>
      <c r="E51" s="29"/>
      <c r="F51" s="21">
        <v>90</v>
      </c>
      <c r="G51" s="21">
        <v>81</v>
      </c>
      <c r="H51" s="28"/>
      <c r="I51" s="28"/>
      <c r="J51" s="21">
        <v>75</v>
      </c>
      <c r="K51" s="21">
        <v>68</v>
      </c>
      <c r="L51" s="21">
        <v>54</v>
      </c>
      <c r="M51" s="29"/>
      <c r="N51" s="29"/>
      <c r="O51" s="30" t="s">
        <v>53</v>
      </c>
      <c r="P51" s="29"/>
      <c r="Q51" s="27" t="s">
        <v>53</v>
      </c>
    </row>
    <row r="52" spans="3:17" x14ac:dyDescent="0.3">
      <c r="C52" s="14" t="s">
        <v>58</v>
      </c>
      <c r="D52" s="21">
        <v>1400</v>
      </c>
      <c r="E52" s="29"/>
      <c r="F52" s="21">
        <v>125</v>
      </c>
      <c r="G52" s="21">
        <v>115</v>
      </c>
      <c r="H52" s="28"/>
      <c r="I52" s="28"/>
      <c r="J52" s="21">
        <v>109</v>
      </c>
      <c r="K52" s="21">
        <v>99</v>
      </c>
      <c r="L52" s="21">
        <v>84</v>
      </c>
      <c r="M52" s="29"/>
      <c r="N52" s="29"/>
      <c r="O52" s="29"/>
      <c r="P52" s="29"/>
      <c r="Q52" s="30" t="s">
        <v>53</v>
      </c>
    </row>
    <row r="53" spans="3:17" x14ac:dyDescent="0.3">
      <c r="C53" s="14" t="s">
        <v>59</v>
      </c>
      <c r="D53" s="21">
        <v>1600</v>
      </c>
      <c r="E53" s="29"/>
      <c r="F53" s="28"/>
      <c r="G53" s="21">
        <v>133</v>
      </c>
      <c r="H53" s="28"/>
      <c r="I53" s="28"/>
      <c r="J53" s="21">
        <v>117</v>
      </c>
      <c r="K53" s="21">
        <v>107</v>
      </c>
      <c r="L53" s="21">
        <v>92</v>
      </c>
      <c r="M53" s="29"/>
      <c r="N53" s="29"/>
      <c r="O53" s="29"/>
      <c r="P53" s="29"/>
      <c r="Q53" s="31"/>
    </row>
    <row r="57" spans="3:17" ht="14.4" customHeight="1" x14ac:dyDescent="0.3">
      <c r="C57" s="193" t="s">
        <v>82</v>
      </c>
      <c r="D57" s="18" t="s">
        <v>81</v>
      </c>
      <c r="E57" s="172" t="s">
        <v>40</v>
      </c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4"/>
    </row>
    <row r="58" spans="3:17" x14ac:dyDescent="0.3">
      <c r="C58" s="194"/>
      <c r="D58" s="25" t="s">
        <v>39</v>
      </c>
      <c r="E58" s="26" t="s">
        <v>17</v>
      </c>
      <c r="F58" s="26" t="s">
        <v>41</v>
      </c>
      <c r="G58" s="26" t="s">
        <v>42</v>
      </c>
      <c r="H58" s="26" t="s">
        <v>43</v>
      </c>
      <c r="I58" s="26" t="s">
        <v>44</v>
      </c>
      <c r="J58" s="26" t="s">
        <v>45</v>
      </c>
      <c r="K58" s="26" t="s">
        <v>46</v>
      </c>
      <c r="L58" s="26" t="s">
        <v>47</v>
      </c>
      <c r="M58" s="26" t="s">
        <v>48</v>
      </c>
      <c r="N58" s="26" t="s">
        <v>49</v>
      </c>
      <c r="O58" s="26" t="s">
        <v>50</v>
      </c>
      <c r="P58" s="26" t="s">
        <v>51</v>
      </c>
      <c r="Q58" s="26" t="s">
        <v>52</v>
      </c>
    </row>
    <row r="59" spans="3:17" x14ac:dyDescent="0.3">
      <c r="C59" s="14" t="s">
        <v>55</v>
      </c>
      <c r="D59" s="21">
        <v>200</v>
      </c>
      <c r="E59" s="37">
        <v>132</v>
      </c>
      <c r="F59" s="37">
        <v>144</v>
      </c>
      <c r="G59" s="37">
        <v>139</v>
      </c>
      <c r="H59" s="37">
        <v>126</v>
      </c>
      <c r="I59" s="37">
        <v>132</v>
      </c>
      <c r="J59" s="37">
        <v>132</v>
      </c>
      <c r="K59" s="37">
        <v>138</v>
      </c>
      <c r="L59" s="37">
        <v>132</v>
      </c>
      <c r="M59" s="39" t="s">
        <v>53</v>
      </c>
      <c r="N59" s="39" t="s">
        <v>53</v>
      </c>
      <c r="O59" s="39" t="s">
        <v>53</v>
      </c>
      <c r="P59" s="39" t="s">
        <v>53</v>
      </c>
      <c r="Q59" s="39" t="s">
        <v>54</v>
      </c>
    </row>
    <row r="60" spans="3:17" x14ac:dyDescent="0.3">
      <c r="C60" s="14" t="s">
        <v>56</v>
      </c>
      <c r="D60" s="21">
        <v>600</v>
      </c>
      <c r="E60" s="37">
        <v>149</v>
      </c>
      <c r="F60" s="37">
        <v>161</v>
      </c>
      <c r="G60" s="37">
        <v>148</v>
      </c>
      <c r="H60" s="36"/>
      <c r="I60" s="37">
        <v>144</v>
      </c>
      <c r="J60" s="37">
        <v>136</v>
      </c>
      <c r="K60" s="37">
        <v>143</v>
      </c>
      <c r="L60" s="37">
        <v>130</v>
      </c>
      <c r="M60" s="39" t="s">
        <v>53</v>
      </c>
      <c r="N60" s="39" t="s">
        <v>53</v>
      </c>
      <c r="O60" s="39" t="s">
        <v>53</v>
      </c>
      <c r="P60" s="38"/>
      <c r="Q60" s="39" t="s">
        <v>53</v>
      </c>
    </row>
    <row r="61" spans="3:17" x14ac:dyDescent="0.3">
      <c r="C61" s="14" t="s">
        <v>57</v>
      </c>
      <c r="D61" s="21">
        <v>1000</v>
      </c>
      <c r="E61" s="33"/>
      <c r="F61" s="37">
        <v>178</v>
      </c>
      <c r="G61" s="37">
        <v>166</v>
      </c>
      <c r="H61" s="36"/>
      <c r="I61" s="36"/>
      <c r="J61" s="37">
        <v>150</v>
      </c>
      <c r="K61" s="37">
        <v>149</v>
      </c>
      <c r="L61" s="37">
        <v>135</v>
      </c>
      <c r="M61" s="38"/>
      <c r="N61" s="38"/>
      <c r="O61" s="35" t="s">
        <v>53</v>
      </c>
      <c r="P61" s="38"/>
      <c r="Q61" s="39" t="s">
        <v>53</v>
      </c>
    </row>
    <row r="62" spans="3:17" x14ac:dyDescent="0.3">
      <c r="C62" s="14" t="s">
        <v>58</v>
      </c>
      <c r="D62" s="21">
        <v>1400</v>
      </c>
      <c r="E62" s="33"/>
      <c r="F62" s="37">
        <v>202</v>
      </c>
      <c r="G62" s="37">
        <v>187</v>
      </c>
      <c r="H62" s="36"/>
      <c r="I62" s="36"/>
      <c r="J62" s="37">
        <v>171</v>
      </c>
      <c r="K62" s="37">
        <v>167</v>
      </c>
      <c r="L62" s="37">
        <v>151</v>
      </c>
      <c r="M62" s="38"/>
      <c r="N62" s="38"/>
      <c r="O62" s="38"/>
      <c r="P62" s="38"/>
      <c r="Q62" s="35" t="s">
        <v>53</v>
      </c>
    </row>
    <row r="63" spans="3:17" x14ac:dyDescent="0.3">
      <c r="C63" s="14" t="s">
        <v>59</v>
      </c>
      <c r="D63" s="21">
        <v>1600</v>
      </c>
      <c r="E63" s="33"/>
      <c r="F63" s="36"/>
      <c r="G63" s="37">
        <v>201</v>
      </c>
      <c r="H63" s="36"/>
      <c r="I63" s="36"/>
      <c r="J63" s="37">
        <v>184</v>
      </c>
      <c r="K63" s="37">
        <v>177</v>
      </c>
      <c r="L63" s="37">
        <v>162</v>
      </c>
      <c r="M63" s="33"/>
      <c r="N63" s="33"/>
      <c r="O63" s="33"/>
      <c r="P63" s="33"/>
      <c r="Q63" s="34"/>
    </row>
  </sheetData>
  <mergeCells count="107">
    <mergeCell ref="V42:X45"/>
    <mergeCell ref="V41:X41"/>
    <mergeCell ref="V40:Y40"/>
    <mergeCell ref="V39:Y39"/>
    <mergeCell ref="U37:AA37"/>
    <mergeCell ref="U42:U45"/>
    <mergeCell ref="Y42:Y45"/>
    <mergeCell ref="O8:P8"/>
    <mergeCell ref="Q8:R8"/>
    <mergeCell ref="Z13:AA13"/>
    <mergeCell ref="Z11:AA11"/>
    <mergeCell ref="F42:G43"/>
    <mergeCell ref="H42:H43"/>
    <mergeCell ref="L37:S37"/>
    <mergeCell ref="M38:N38"/>
    <mergeCell ref="R38:S38"/>
    <mergeCell ref="D25:E25"/>
    <mergeCell ref="D39:H39"/>
    <mergeCell ref="I39:J40"/>
    <mergeCell ref="D40:H40"/>
    <mergeCell ref="C47:C48"/>
    <mergeCell ref="C39:C40"/>
    <mergeCell ref="C42:C43"/>
    <mergeCell ref="V46:AA46"/>
    <mergeCell ref="C23:C27"/>
    <mergeCell ref="C57:C58"/>
    <mergeCell ref="Z38:AA38"/>
    <mergeCell ref="U39:U40"/>
    <mergeCell ref="Z39:AA40"/>
    <mergeCell ref="Q42:Q43"/>
    <mergeCell ref="M44:S44"/>
    <mergeCell ref="L39:L40"/>
    <mergeCell ref="M39:Q39"/>
    <mergeCell ref="M40:Q40"/>
    <mergeCell ref="R39:S40"/>
    <mergeCell ref="M41:P41"/>
    <mergeCell ref="L42:L43"/>
    <mergeCell ref="M42:M43"/>
    <mergeCell ref="C37:J37"/>
    <mergeCell ref="E57:Q57"/>
    <mergeCell ref="D27:E27"/>
    <mergeCell ref="D26:E26"/>
    <mergeCell ref="D42:D43"/>
    <mergeCell ref="E42:E43"/>
    <mergeCell ref="C2:D2"/>
    <mergeCell ref="F3:G3"/>
    <mergeCell ref="F4:G4"/>
    <mergeCell ref="Z7:AC7"/>
    <mergeCell ref="Z10:AC10"/>
    <mergeCell ref="Z8:AA8"/>
    <mergeCell ref="E47:Q47"/>
    <mergeCell ref="D41:G41"/>
    <mergeCell ref="D38:E38"/>
    <mergeCell ref="I38:J38"/>
    <mergeCell ref="N42:N43"/>
    <mergeCell ref="O42:P42"/>
    <mergeCell ref="O43:P43"/>
    <mergeCell ref="F13:H13"/>
    <mergeCell ref="Z12:AA12"/>
    <mergeCell ref="D15:D16"/>
    <mergeCell ref="D21:D22"/>
    <mergeCell ref="K13:R13"/>
    <mergeCell ref="K14:K16"/>
    <mergeCell ref="M14:N14"/>
    <mergeCell ref="O14:P14"/>
    <mergeCell ref="Q14:R14"/>
    <mergeCell ref="F15:H15"/>
    <mergeCell ref="D44:J44"/>
    <mergeCell ref="AB11:AC11"/>
    <mergeCell ref="T10:T11"/>
    <mergeCell ref="D8:E8"/>
    <mergeCell ref="C7:H7"/>
    <mergeCell ref="T7:W7"/>
    <mergeCell ref="K7:R7"/>
    <mergeCell ref="D9:E9"/>
    <mergeCell ref="AB12:AC12"/>
    <mergeCell ref="D13:E13"/>
    <mergeCell ref="K8:K10"/>
    <mergeCell ref="M8:N8"/>
    <mergeCell ref="D10:E10"/>
    <mergeCell ref="D11:E11"/>
    <mergeCell ref="D12:E12"/>
    <mergeCell ref="T13:W13"/>
    <mergeCell ref="T22:T23"/>
    <mergeCell ref="D23:D24"/>
    <mergeCell ref="C19:C22"/>
    <mergeCell ref="T8:U8"/>
    <mergeCell ref="T9:U9"/>
    <mergeCell ref="T14:U14"/>
    <mergeCell ref="T15:U15"/>
    <mergeCell ref="T20:U20"/>
    <mergeCell ref="T21:U21"/>
    <mergeCell ref="M20:N20"/>
    <mergeCell ref="O20:P20"/>
    <mergeCell ref="Q20:R20"/>
    <mergeCell ref="F16:H16"/>
    <mergeCell ref="D17:D18"/>
    <mergeCell ref="F17:H17"/>
    <mergeCell ref="F18:H18"/>
    <mergeCell ref="T16:T17"/>
    <mergeCell ref="K19:R19"/>
    <mergeCell ref="F14:H14"/>
    <mergeCell ref="K20:K22"/>
    <mergeCell ref="T19:W19"/>
    <mergeCell ref="D19:D20"/>
    <mergeCell ref="F19:H19"/>
    <mergeCell ref="F20:H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EAE97-2E1F-4A40-BC6B-E8AD1DA8E808}">
  <dimension ref="A2:AC109"/>
  <sheetViews>
    <sheetView topLeftCell="A68" zoomScale="33" zoomScaleNormal="40" workbookViewId="0">
      <selection activeCell="C124" sqref="C124"/>
    </sheetView>
  </sheetViews>
  <sheetFormatPr baseColWidth="10" defaultRowHeight="14.4" x14ac:dyDescent="0.3"/>
  <cols>
    <col min="1" max="1" width="25.109375" customWidth="1"/>
    <col min="2" max="2" width="43" customWidth="1"/>
    <col min="3" max="3" width="46.6640625" customWidth="1"/>
    <col min="4" max="4" width="67.88671875" bestFit="1" customWidth="1"/>
    <col min="6" max="6" width="15.33203125" bestFit="1" customWidth="1"/>
    <col min="7" max="7" width="16.109375" bestFit="1" customWidth="1"/>
    <col min="8" max="8" width="17.5546875" customWidth="1"/>
    <col min="9" max="9" width="20.33203125" customWidth="1"/>
    <col min="11" max="11" width="15.6640625" customWidth="1"/>
    <col min="13" max="13" width="21.6640625" customWidth="1"/>
    <col min="16" max="16" width="22" customWidth="1"/>
    <col min="18" max="18" width="20" customWidth="1"/>
    <col min="20" max="20" width="14.6640625" customWidth="1"/>
  </cols>
  <sheetData>
    <row r="2" spans="1:23" ht="15" thickBot="1" x14ac:dyDescent="0.35"/>
    <row r="3" spans="1:23" x14ac:dyDescent="0.3">
      <c r="A3" s="235" t="s">
        <v>96</v>
      </c>
      <c r="B3" s="49" t="s">
        <v>97</v>
      </c>
      <c r="C3" s="50">
        <v>45361</v>
      </c>
      <c r="D3" s="50">
        <v>45360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2"/>
    </row>
    <row r="4" spans="1:23" x14ac:dyDescent="0.3">
      <c r="A4" s="236"/>
      <c r="B4" s="53" t="s">
        <v>98</v>
      </c>
      <c r="C4" s="54">
        <v>45726</v>
      </c>
      <c r="D4" s="54">
        <v>46090</v>
      </c>
      <c r="W4" s="55"/>
    </row>
    <row r="5" spans="1:23" x14ac:dyDescent="0.3">
      <c r="A5" s="236"/>
      <c r="B5" s="53"/>
      <c r="C5" s="56"/>
      <c r="D5" s="56"/>
      <c r="W5" s="55"/>
    </row>
    <row r="6" spans="1:23" x14ac:dyDescent="0.3">
      <c r="A6" s="236"/>
      <c r="B6" s="53" t="s">
        <v>99</v>
      </c>
      <c r="C6" s="54">
        <v>45726</v>
      </c>
      <c r="D6" s="54">
        <v>46090</v>
      </c>
      <c r="E6" s="56">
        <f>D6-C6+1</f>
        <v>365</v>
      </c>
      <c r="W6" s="55"/>
    </row>
    <row r="7" spans="1:23" x14ac:dyDescent="0.3">
      <c r="A7" s="236"/>
      <c r="B7" s="53"/>
      <c r="W7" s="55"/>
    </row>
    <row r="8" spans="1:23" x14ac:dyDescent="0.3">
      <c r="A8" s="236"/>
      <c r="B8" s="57" t="s">
        <v>100</v>
      </c>
      <c r="C8" s="93">
        <f>SUM('Variante - 3 Cat.'!F15:H15,'Variante - 3 Cat.'!F16:H16)</f>
        <v>1683202</v>
      </c>
      <c r="D8" s="58" t="s">
        <v>101</v>
      </c>
      <c r="W8" s="55"/>
    </row>
    <row r="9" spans="1:23" x14ac:dyDescent="0.3">
      <c r="A9" s="236"/>
      <c r="B9" s="57" t="s">
        <v>102</v>
      </c>
      <c r="C9" s="94" t="s">
        <v>16</v>
      </c>
      <c r="D9" s="58" t="s">
        <v>101</v>
      </c>
      <c r="W9" s="55"/>
    </row>
    <row r="10" spans="1:23" x14ac:dyDescent="0.3">
      <c r="A10" s="236"/>
      <c r="B10" s="57" t="s">
        <v>103</v>
      </c>
      <c r="C10" s="94" t="s">
        <v>104</v>
      </c>
      <c r="D10" s="58" t="s">
        <v>101</v>
      </c>
      <c r="W10" s="55"/>
    </row>
    <row r="11" spans="1:23" x14ac:dyDescent="0.3">
      <c r="A11" s="236"/>
      <c r="B11" s="57" t="s">
        <v>105</v>
      </c>
      <c r="C11" s="94" t="s">
        <v>16</v>
      </c>
      <c r="D11" s="58" t="s">
        <v>101</v>
      </c>
      <c r="W11" s="55"/>
    </row>
    <row r="12" spans="1:23" x14ac:dyDescent="0.3">
      <c r="A12" s="236"/>
      <c r="B12" s="53"/>
      <c r="W12" s="55"/>
    </row>
    <row r="13" spans="1:23" ht="28.8" x14ac:dyDescent="0.3">
      <c r="A13" s="236"/>
      <c r="B13" s="59" t="s">
        <v>106</v>
      </c>
      <c r="C13" s="238" t="s">
        <v>107</v>
      </c>
      <c r="D13" s="238"/>
      <c r="E13" s="60" t="s">
        <v>108</v>
      </c>
      <c r="F13" s="60" t="s">
        <v>109</v>
      </c>
      <c r="G13" s="60" t="s">
        <v>110</v>
      </c>
      <c r="H13" s="60" t="s">
        <v>111</v>
      </c>
      <c r="I13" s="60" t="s">
        <v>112</v>
      </c>
      <c r="J13" s="60" t="s">
        <v>113</v>
      </c>
      <c r="K13" s="60" t="s">
        <v>114</v>
      </c>
      <c r="L13" s="61"/>
      <c r="M13" s="62" t="s">
        <v>115</v>
      </c>
      <c r="N13" s="62" t="s">
        <v>116</v>
      </c>
      <c r="O13" s="62" t="s">
        <v>117</v>
      </c>
      <c r="P13" s="62" t="s">
        <v>118</v>
      </c>
      <c r="Q13" s="63"/>
      <c r="R13" s="62" t="s">
        <v>119</v>
      </c>
      <c r="S13" s="61"/>
      <c r="T13" s="60" t="s">
        <v>120</v>
      </c>
      <c r="U13" s="60" t="s">
        <v>121</v>
      </c>
      <c r="W13" s="55"/>
    </row>
    <row r="14" spans="1:23" x14ac:dyDescent="0.3">
      <c r="A14" s="236"/>
      <c r="B14" s="57" t="s">
        <v>122</v>
      </c>
      <c r="C14" s="95">
        <f>'Variante - 3 Cat.'!F9</f>
        <v>2671</v>
      </c>
      <c r="D14" s="64" t="s">
        <v>123</v>
      </c>
      <c r="E14" s="97" t="s">
        <v>124</v>
      </c>
      <c r="F14" s="97" t="s">
        <v>125</v>
      </c>
      <c r="G14" s="97" t="s">
        <v>125</v>
      </c>
      <c r="H14" s="65">
        <v>45762</v>
      </c>
      <c r="I14" s="65">
        <v>46042</v>
      </c>
      <c r="J14" s="65" t="s">
        <v>126</v>
      </c>
      <c r="K14" s="66">
        <f>(I14-H14)+1</f>
        <v>281</v>
      </c>
      <c r="M14" s="67">
        <f>C14*K14/$E$6</f>
        <v>2056.3041095890412</v>
      </c>
      <c r="N14" s="67">
        <f>IF(E14="oui",M14,0)</f>
        <v>2056.3041095890412</v>
      </c>
      <c r="O14" s="67">
        <f>IF(F14="oui",M14,0)</f>
        <v>0</v>
      </c>
      <c r="P14" s="67">
        <f>IF(G14="oui",M14,0)</f>
        <v>0</v>
      </c>
      <c r="Q14" s="68"/>
      <c r="R14" s="69">
        <v>105</v>
      </c>
      <c r="T14" s="69">
        <v>2.4699999999999999E-4</v>
      </c>
      <c r="U14" s="69">
        <v>0.2</v>
      </c>
      <c r="W14" s="55"/>
    </row>
    <row r="15" spans="1:23" x14ac:dyDescent="0.3">
      <c r="A15" s="236"/>
      <c r="B15" s="57" t="s">
        <v>66</v>
      </c>
      <c r="C15" s="95">
        <f>'Variante - 3 Cat.'!G9</f>
        <v>1427</v>
      </c>
      <c r="D15" s="64" t="s">
        <v>123</v>
      </c>
      <c r="E15" s="97" t="s">
        <v>124</v>
      </c>
      <c r="F15" s="97" t="s">
        <v>125</v>
      </c>
      <c r="G15" s="97" t="s">
        <v>125</v>
      </c>
      <c r="H15" s="65">
        <v>45762</v>
      </c>
      <c r="I15" s="65">
        <v>46042</v>
      </c>
      <c r="J15" s="65" t="s">
        <v>126</v>
      </c>
      <c r="K15" s="66">
        <f>(I15-H15)+1</f>
        <v>281</v>
      </c>
      <c r="M15" s="67">
        <f>C15*K15/$E$6</f>
        <v>1098.5945205479452</v>
      </c>
      <c r="N15" s="67">
        <f>IF(E15="oui",M15,0)</f>
        <v>1098.5945205479452</v>
      </c>
      <c r="O15" s="67">
        <f>IF(F15="oui",M15,0)</f>
        <v>0</v>
      </c>
      <c r="P15" s="67">
        <f>IF(G15="oui",M15,0)</f>
        <v>0</v>
      </c>
      <c r="Q15" s="68"/>
      <c r="R15" s="69">
        <v>1600</v>
      </c>
      <c r="T15" s="69">
        <v>2.4699999999999999E-4</v>
      </c>
      <c r="U15" s="69">
        <v>0.1</v>
      </c>
      <c r="W15" s="55"/>
    </row>
    <row r="16" spans="1:23" x14ac:dyDescent="0.3">
      <c r="A16" s="236"/>
      <c r="B16" s="57" t="s">
        <v>82</v>
      </c>
      <c r="C16" s="95">
        <f>'Variante - 3 Cat.'!H9</f>
        <v>500</v>
      </c>
      <c r="D16" s="64" t="s">
        <v>123</v>
      </c>
      <c r="E16" s="97" t="s">
        <v>124</v>
      </c>
      <c r="F16" s="97" t="s">
        <v>125</v>
      </c>
      <c r="G16" s="97" t="s">
        <v>125</v>
      </c>
      <c r="H16" s="65">
        <v>45863</v>
      </c>
      <c r="I16" s="65">
        <v>46090</v>
      </c>
      <c r="J16" s="65" t="s">
        <v>126</v>
      </c>
      <c r="K16" s="66">
        <f>(I16-H16)+1</f>
        <v>228</v>
      </c>
      <c r="M16" s="67">
        <f>C16*K16/$E$6</f>
        <v>312.32876712328766</v>
      </c>
      <c r="N16" s="67">
        <f>IF(E16="oui",M16,0)</f>
        <v>312.32876712328766</v>
      </c>
      <c r="O16" s="67">
        <f>IF(F16="oui",M16,0)</f>
        <v>0</v>
      </c>
      <c r="P16" s="67">
        <f>IF(G16="oui",M16,0)</f>
        <v>0</v>
      </c>
      <c r="Q16" s="68"/>
      <c r="R16" s="69">
        <v>240</v>
      </c>
      <c r="T16" s="69">
        <v>3.1399999999999999E-4</v>
      </c>
      <c r="U16" s="69">
        <v>5.9999999999999995E-4</v>
      </c>
      <c r="W16" s="55"/>
    </row>
    <row r="17" spans="1:29" x14ac:dyDescent="0.3">
      <c r="A17" s="236"/>
      <c r="B17" s="53"/>
      <c r="M17" s="70"/>
      <c r="N17" s="70"/>
      <c r="O17" s="70"/>
      <c r="P17" s="70"/>
      <c r="W17" s="55"/>
    </row>
    <row r="18" spans="1:29" x14ac:dyDescent="0.3">
      <c r="A18" s="236"/>
      <c r="B18" s="53"/>
      <c r="K18" s="239" t="s">
        <v>127</v>
      </c>
      <c r="L18" s="239"/>
      <c r="M18" s="67">
        <f>SUM(M14:M16)</f>
        <v>3467.2273972602743</v>
      </c>
      <c r="N18" s="67">
        <f>SUM(N14:N16)</f>
        <v>3467.2273972602743</v>
      </c>
      <c r="O18" s="67">
        <f>SUM(O14:O16)</f>
        <v>0</v>
      </c>
      <c r="P18" s="67">
        <f>SUM(P14:P16)</f>
        <v>0</v>
      </c>
      <c r="Q18" s="71" t="s">
        <v>128</v>
      </c>
      <c r="R18" s="72">
        <f>(M14*R14+R15*M15+M16*R16)</f>
        <v>2048622.0684931506</v>
      </c>
      <c r="W18" s="55"/>
    </row>
    <row r="19" spans="1:29" ht="15" thickBot="1" x14ac:dyDescent="0.35">
      <c r="A19" s="237"/>
      <c r="B19" s="73"/>
      <c r="C19" s="74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6"/>
    </row>
    <row r="20" spans="1:29" x14ac:dyDescent="0.3">
      <c r="A20" s="77"/>
    </row>
    <row r="21" spans="1:29" ht="15" thickBot="1" x14ac:dyDescent="0.35">
      <c r="A21" s="77"/>
    </row>
    <row r="22" spans="1:29" x14ac:dyDescent="0.3">
      <c r="A22" s="78" t="s">
        <v>129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2"/>
    </row>
    <row r="23" spans="1:29" x14ac:dyDescent="0.3">
      <c r="A23" s="53"/>
      <c r="AC23" s="55"/>
    </row>
    <row r="24" spans="1:29" ht="172.8" x14ac:dyDescent="0.3">
      <c r="A24" s="79" t="s">
        <v>130</v>
      </c>
      <c r="B24" s="47" t="s">
        <v>131</v>
      </c>
      <c r="C24" s="47" t="s">
        <v>132</v>
      </c>
      <c r="D24" s="47" t="s">
        <v>133</v>
      </c>
      <c r="E24" s="80"/>
      <c r="F24" s="47" t="s">
        <v>134</v>
      </c>
      <c r="G24" s="47" t="s">
        <v>135</v>
      </c>
      <c r="H24" s="47" t="s">
        <v>136</v>
      </c>
      <c r="I24" s="47" t="s">
        <v>137</v>
      </c>
      <c r="J24" s="47" t="s">
        <v>138</v>
      </c>
      <c r="K24" s="47" t="s">
        <v>139</v>
      </c>
      <c r="L24" s="47" t="s">
        <v>140</v>
      </c>
      <c r="M24" s="47" t="s">
        <v>141</v>
      </c>
      <c r="O24" s="47" t="s">
        <v>142</v>
      </c>
      <c r="P24" s="81" t="s">
        <v>143</v>
      </c>
      <c r="Q24" s="77"/>
      <c r="R24" s="81" t="s">
        <v>144</v>
      </c>
      <c r="S24" s="81" t="s">
        <v>145</v>
      </c>
      <c r="T24" s="81" t="s">
        <v>146</v>
      </c>
      <c r="V24" s="47" t="s">
        <v>147</v>
      </c>
      <c r="W24" s="81" t="s">
        <v>148</v>
      </c>
      <c r="X24" s="77"/>
      <c r="Y24" s="81" t="s">
        <v>149</v>
      </c>
      <c r="Z24" s="81" t="s">
        <v>150</v>
      </c>
      <c r="AA24" s="81" t="s">
        <v>151</v>
      </c>
      <c r="AC24" s="55"/>
    </row>
    <row r="25" spans="1:29" x14ac:dyDescent="0.3">
      <c r="A25" s="82">
        <v>45717</v>
      </c>
      <c r="B25" s="58">
        <v>0</v>
      </c>
      <c r="C25" s="58">
        <v>31</v>
      </c>
      <c r="D25" s="58">
        <v>22</v>
      </c>
      <c r="E25" s="83"/>
      <c r="F25" s="84">
        <v>460.2</v>
      </c>
      <c r="G25" s="84">
        <v>430</v>
      </c>
      <c r="H25" s="85">
        <f t="shared" ref="H25:H37" si="0">F25*B25/C25</f>
        <v>0</v>
      </c>
      <c r="I25" s="85">
        <f t="shared" ref="I25:I37" si="1">G25*B25/C25</f>
        <v>0</v>
      </c>
      <c r="J25" s="84">
        <v>0</v>
      </c>
      <c r="K25" s="84">
        <v>0</v>
      </c>
      <c r="L25" s="85">
        <f t="shared" ref="L25:L37" si="2">J25*F25/G25</f>
        <v>0</v>
      </c>
      <c r="M25" s="85">
        <f t="shared" ref="M25:M37" si="3">K25*F25/G25</f>
        <v>0</v>
      </c>
      <c r="O25" s="86">
        <f>T14*H38</f>
        <v>0.42755007868817202</v>
      </c>
      <c r="P25" s="86">
        <f>MIN(O25,1)</f>
        <v>0.42755007868817202</v>
      </c>
      <c r="R25" s="86">
        <f>(I38-H38)/H38</f>
        <v>-9.0162495191805761E-2</v>
      </c>
      <c r="S25" s="86">
        <f>MIN(R25,1)</f>
        <v>-9.0162495191805761E-2</v>
      </c>
      <c r="T25" s="86">
        <f>MAX(-0.5,S25)</f>
        <v>-9.0162495191805761E-2</v>
      </c>
      <c r="V25" s="86">
        <f>U14*L38</f>
        <v>78.033422222222214</v>
      </c>
      <c r="W25" s="86">
        <f>MIN(V25,1)</f>
        <v>1</v>
      </c>
      <c r="Y25" s="86">
        <f>(M38-L38)/L38</f>
        <v>-5.5904478536832031E-2</v>
      </c>
      <c r="Z25" s="86">
        <f>MIN(Y25,1)</f>
        <v>-5.5904478536832031E-2</v>
      </c>
      <c r="AA25" s="86">
        <f>MAX(-0.5,Z25)</f>
        <v>-5.5904478536832031E-2</v>
      </c>
      <c r="AC25" s="55"/>
    </row>
    <row r="26" spans="1:29" x14ac:dyDescent="0.3">
      <c r="A26" s="82">
        <v>45748</v>
      </c>
      <c r="B26" s="58">
        <v>16</v>
      </c>
      <c r="C26" s="58">
        <v>30</v>
      </c>
      <c r="D26" s="58">
        <v>30</v>
      </c>
      <c r="E26" s="83"/>
      <c r="F26" s="84">
        <v>358.54</v>
      </c>
      <c r="G26" s="84">
        <v>360</v>
      </c>
      <c r="H26" s="85">
        <f t="shared" si="0"/>
        <v>191.22133333333335</v>
      </c>
      <c r="I26" s="85">
        <f t="shared" si="1"/>
        <v>192</v>
      </c>
      <c r="J26" s="84">
        <v>10</v>
      </c>
      <c r="K26" s="84">
        <v>8</v>
      </c>
      <c r="L26" s="85">
        <f t="shared" si="2"/>
        <v>9.9594444444444452</v>
      </c>
      <c r="M26" s="85">
        <f t="shared" si="3"/>
        <v>7.9675555555555562</v>
      </c>
      <c r="AC26" s="55"/>
    </row>
    <row r="27" spans="1:29" x14ac:dyDescent="0.3">
      <c r="A27" s="82">
        <v>45778</v>
      </c>
      <c r="B27" s="58">
        <v>31</v>
      </c>
      <c r="C27" s="58">
        <v>31</v>
      </c>
      <c r="D27" s="58">
        <v>31</v>
      </c>
      <c r="E27" s="83"/>
      <c r="F27" s="84">
        <v>336.33</v>
      </c>
      <c r="G27" s="84">
        <v>300</v>
      </c>
      <c r="H27" s="85">
        <f t="shared" si="0"/>
        <v>336.33</v>
      </c>
      <c r="I27" s="85">
        <f t="shared" si="1"/>
        <v>300</v>
      </c>
      <c r="J27" s="84">
        <v>20</v>
      </c>
      <c r="K27" s="84">
        <v>13</v>
      </c>
      <c r="L27" s="85">
        <f t="shared" si="2"/>
        <v>22.421999999999997</v>
      </c>
      <c r="M27" s="85">
        <f t="shared" si="3"/>
        <v>14.574299999999999</v>
      </c>
      <c r="AC27" s="55"/>
    </row>
    <row r="28" spans="1:29" x14ac:dyDescent="0.3">
      <c r="A28" s="82">
        <v>45809</v>
      </c>
      <c r="B28" s="58">
        <v>30</v>
      </c>
      <c r="C28" s="58">
        <v>30</v>
      </c>
      <c r="D28" s="58">
        <v>30</v>
      </c>
      <c r="E28" s="83"/>
      <c r="F28" s="84">
        <v>318.25</v>
      </c>
      <c r="G28" s="84">
        <v>250</v>
      </c>
      <c r="H28" s="85">
        <f>F28*B28/C28</f>
        <v>318.25</v>
      </c>
      <c r="I28" s="85">
        <f t="shared" si="1"/>
        <v>250</v>
      </c>
      <c r="J28" s="84">
        <v>40</v>
      </c>
      <c r="K28" s="84">
        <v>60</v>
      </c>
      <c r="L28" s="85">
        <f t="shared" si="2"/>
        <v>50.92</v>
      </c>
      <c r="M28" s="85">
        <f t="shared" si="3"/>
        <v>76.38</v>
      </c>
      <c r="AC28" s="55"/>
    </row>
    <row r="29" spans="1:29" x14ac:dyDescent="0.3">
      <c r="A29" s="82">
        <v>45839</v>
      </c>
      <c r="B29" s="58">
        <v>31</v>
      </c>
      <c r="C29" s="58">
        <v>31</v>
      </c>
      <c r="D29" s="58">
        <v>31</v>
      </c>
      <c r="E29" s="83"/>
      <c r="F29" s="84">
        <v>205.14</v>
      </c>
      <c r="G29" s="84">
        <v>200</v>
      </c>
      <c r="H29" s="85">
        <f t="shared" si="0"/>
        <v>205.14</v>
      </c>
      <c r="I29" s="85">
        <f t="shared" si="1"/>
        <v>200</v>
      </c>
      <c r="J29" s="84">
        <v>100</v>
      </c>
      <c r="K29" s="84">
        <v>85</v>
      </c>
      <c r="L29" s="85">
        <f t="shared" si="2"/>
        <v>102.57</v>
      </c>
      <c r="M29" s="85">
        <f t="shared" si="3"/>
        <v>87.184499999999986</v>
      </c>
      <c r="AC29" s="55"/>
    </row>
    <row r="30" spans="1:29" x14ac:dyDescent="0.3">
      <c r="A30" s="82">
        <v>45870</v>
      </c>
      <c r="B30" s="58">
        <v>31</v>
      </c>
      <c r="C30" s="58">
        <v>31</v>
      </c>
      <c r="D30" s="58">
        <v>31</v>
      </c>
      <c r="E30" s="83"/>
      <c r="F30" s="84">
        <v>60.17</v>
      </c>
      <c r="G30" s="84">
        <v>50</v>
      </c>
      <c r="H30" s="85">
        <f t="shared" si="0"/>
        <v>60.17</v>
      </c>
      <c r="I30" s="85">
        <f t="shared" si="1"/>
        <v>50</v>
      </c>
      <c r="J30" s="84">
        <v>110</v>
      </c>
      <c r="K30" s="84">
        <v>130</v>
      </c>
      <c r="L30" s="85">
        <f t="shared" si="2"/>
        <v>132.374</v>
      </c>
      <c r="M30" s="85">
        <f t="shared" si="3"/>
        <v>156.44200000000001</v>
      </c>
      <c r="AC30" s="55"/>
    </row>
    <row r="31" spans="1:29" x14ac:dyDescent="0.3">
      <c r="A31" s="82">
        <v>45901</v>
      </c>
      <c r="B31" s="58">
        <v>30</v>
      </c>
      <c r="C31" s="58">
        <v>30</v>
      </c>
      <c r="D31" s="58">
        <v>30</v>
      </c>
      <c r="E31" s="83"/>
      <c r="F31" s="84">
        <v>41.74</v>
      </c>
      <c r="G31" s="84">
        <v>40</v>
      </c>
      <c r="H31" s="85">
        <f t="shared" si="0"/>
        <v>41.74</v>
      </c>
      <c r="I31" s="85">
        <f t="shared" si="1"/>
        <v>40</v>
      </c>
      <c r="J31" s="84">
        <v>50</v>
      </c>
      <c r="K31" s="84">
        <v>20</v>
      </c>
      <c r="L31" s="85">
        <f t="shared" si="2"/>
        <v>52.174999999999997</v>
      </c>
      <c r="M31" s="85">
        <f t="shared" si="3"/>
        <v>20.87</v>
      </c>
      <c r="AC31" s="55"/>
    </row>
    <row r="32" spans="1:29" x14ac:dyDescent="0.3">
      <c r="A32" s="82">
        <v>45931</v>
      </c>
      <c r="B32" s="58">
        <v>31</v>
      </c>
      <c r="C32" s="58">
        <v>31</v>
      </c>
      <c r="D32" s="58">
        <v>31</v>
      </c>
      <c r="E32" s="83"/>
      <c r="F32" s="84">
        <v>59.24</v>
      </c>
      <c r="G32" s="84">
        <v>60</v>
      </c>
      <c r="H32" s="85">
        <f t="shared" si="0"/>
        <v>59.24</v>
      </c>
      <c r="I32" s="85">
        <f t="shared" si="1"/>
        <v>60</v>
      </c>
      <c r="J32" s="84">
        <v>20</v>
      </c>
      <c r="K32" s="84">
        <v>5</v>
      </c>
      <c r="L32" s="85">
        <f t="shared" si="2"/>
        <v>19.746666666666666</v>
      </c>
      <c r="M32" s="85">
        <f t="shared" si="3"/>
        <v>4.9366666666666665</v>
      </c>
      <c r="AC32" s="55"/>
    </row>
    <row r="33" spans="1:29" x14ac:dyDescent="0.3">
      <c r="A33" s="82">
        <v>45962</v>
      </c>
      <c r="B33" s="58">
        <v>30</v>
      </c>
      <c r="C33" s="58">
        <v>30</v>
      </c>
      <c r="D33" s="58">
        <v>30</v>
      </c>
      <c r="E33" s="83"/>
      <c r="F33" s="84">
        <v>70.930000000000007</v>
      </c>
      <c r="G33" s="84">
        <v>70</v>
      </c>
      <c r="H33" s="85">
        <f t="shared" si="0"/>
        <v>70.930000000000007</v>
      </c>
      <c r="I33" s="85">
        <f t="shared" si="1"/>
        <v>70</v>
      </c>
      <c r="J33" s="84">
        <v>0</v>
      </c>
      <c r="K33" s="84">
        <v>0</v>
      </c>
      <c r="L33" s="85">
        <f t="shared" si="2"/>
        <v>0</v>
      </c>
      <c r="M33" s="85">
        <f t="shared" si="3"/>
        <v>0</v>
      </c>
      <c r="AC33" s="55"/>
    </row>
    <row r="34" spans="1:29" x14ac:dyDescent="0.3">
      <c r="A34" s="82">
        <v>45992</v>
      </c>
      <c r="B34" s="58">
        <v>31</v>
      </c>
      <c r="C34" s="58">
        <v>31</v>
      </c>
      <c r="D34" s="58">
        <v>31</v>
      </c>
      <c r="E34" s="83"/>
      <c r="F34" s="84">
        <v>215.37</v>
      </c>
      <c r="G34" s="84">
        <v>200</v>
      </c>
      <c r="H34" s="85">
        <f t="shared" si="0"/>
        <v>215.37</v>
      </c>
      <c r="I34" s="85">
        <f t="shared" si="1"/>
        <v>200</v>
      </c>
      <c r="J34" s="84">
        <v>0</v>
      </c>
      <c r="K34" s="84">
        <v>0</v>
      </c>
      <c r="L34" s="85">
        <f t="shared" si="2"/>
        <v>0</v>
      </c>
      <c r="M34" s="85">
        <f t="shared" si="3"/>
        <v>0</v>
      </c>
      <c r="AC34" s="55"/>
    </row>
    <row r="35" spans="1:29" x14ac:dyDescent="0.3">
      <c r="A35" s="82">
        <v>46023</v>
      </c>
      <c r="B35" s="58">
        <v>20</v>
      </c>
      <c r="C35" s="58">
        <v>31</v>
      </c>
      <c r="D35" s="58">
        <v>31</v>
      </c>
      <c r="E35" s="83"/>
      <c r="F35" s="84">
        <v>360.5</v>
      </c>
      <c r="G35" s="84">
        <v>330</v>
      </c>
      <c r="H35" s="85">
        <f t="shared" si="0"/>
        <v>232.58064516129033</v>
      </c>
      <c r="I35" s="85">
        <f t="shared" si="1"/>
        <v>212.90322580645162</v>
      </c>
      <c r="J35" s="84">
        <v>0</v>
      </c>
      <c r="K35" s="84">
        <v>0</v>
      </c>
      <c r="L35" s="85">
        <f t="shared" si="2"/>
        <v>0</v>
      </c>
      <c r="M35" s="85">
        <f t="shared" si="3"/>
        <v>0</v>
      </c>
      <c r="AC35" s="55"/>
    </row>
    <row r="36" spans="1:29" x14ac:dyDescent="0.3">
      <c r="A36" s="82">
        <v>46054</v>
      </c>
      <c r="B36" s="58">
        <v>0</v>
      </c>
      <c r="C36" s="58">
        <v>28</v>
      </c>
      <c r="D36" s="58">
        <v>28</v>
      </c>
      <c r="E36" s="83"/>
      <c r="F36" s="84">
        <v>365.7</v>
      </c>
      <c r="G36" s="84">
        <v>370</v>
      </c>
      <c r="H36" s="85">
        <f t="shared" si="0"/>
        <v>0</v>
      </c>
      <c r="I36" s="85">
        <f t="shared" si="1"/>
        <v>0</v>
      </c>
      <c r="J36" s="84">
        <v>0</v>
      </c>
      <c r="K36" s="84">
        <v>0</v>
      </c>
      <c r="L36" s="85">
        <f t="shared" si="2"/>
        <v>0</v>
      </c>
      <c r="M36" s="85">
        <f t="shared" si="3"/>
        <v>0</v>
      </c>
      <c r="AC36" s="55"/>
    </row>
    <row r="37" spans="1:29" x14ac:dyDescent="0.3">
      <c r="A37" s="82">
        <v>46082</v>
      </c>
      <c r="B37" s="58">
        <v>0</v>
      </c>
      <c r="C37" s="58">
        <v>31</v>
      </c>
      <c r="D37" s="58">
        <v>9</v>
      </c>
      <c r="E37" s="83"/>
      <c r="F37" s="84">
        <v>471</v>
      </c>
      <c r="G37" s="84">
        <v>430</v>
      </c>
      <c r="H37" s="85">
        <f t="shared" si="0"/>
        <v>0</v>
      </c>
      <c r="I37" s="85">
        <f t="shared" si="1"/>
        <v>0</v>
      </c>
      <c r="J37" s="84">
        <v>0</v>
      </c>
      <c r="K37" s="84">
        <v>0</v>
      </c>
      <c r="L37" s="85">
        <f t="shared" si="2"/>
        <v>0</v>
      </c>
      <c r="M37" s="85">
        <f t="shared" si="3"/>
        <v>0</v>
      </c>
      <c r="AC37" s="55"/>
    </row>
    <row r="38" spans="1:29" x14ac:dyDescent="0.3">
      <c r="A38" s="53"/>
      <c r="F38" s="87"/>
      <c r="G38" s="88" t="s">
        <v>18</v>
      </c>
      <c r="H38" s="89">
        <f>IF(SUM(H25:H37)&lt;1,1,SUM(H25:H37))</f>
        <v>1730.9719784946237</v>
      </c>
      <c r="I38" s="89">
        <f>IF(SUM(I25:I37)&lt;1,1,SUM(I25:I37))</f>
        <v>1574.9032258064517</v>
      </c>
      <c r="J38" s="87"/>
      <c r="K38" s="88" t="s">
        <v>18</v>
      </c>
      <c r="L38" s="89">
        <f>IF(SUM(L25:L37)&lt;1,1,SUM(L25:L37))</f>
        <v>390.16711111111107</v>
      </c>
      <c r="M38" s="89">
        <f>IF(SUM(M25:M37)&lt;1,1,SUM(M25:M37))</f>
        <v>368.3550222222222</v>
      </c>
      <c r="AC38" s="55"/>
    </row>
    <row r="39" spans="1:29" x14ac:dyDescent="0.3">
      <c r="A39" s="53"/>
      <c r="AC39" s="55"/>
    </row>
    <row r="40" spans="1:29" x14ac:dyDescent="0.3">
      <c r="A40" s="99" t="s">
        <v>172</v>
      </c>
      <c r="AC40" s="55"/>
    </row>
    <row r="41" spans="1:29" x14ac:dyDescent="0.3">
      <c r="A41" s="233" t="s">
        <v>168</v>
      </c>
      <c r="B41" s="234"/>
      <c r="C41" s="96">
        <f>C8*(R14*M14/(R14*M14+R15*M15+R16*M16))*P25*T25</f>
        <v>-6838.5487464833277</v>
      </c>
      <c r="AC41" s="55"/>
    </row>
    <row r="42" spans="1:29" ht="15" thickBot="1" x14ac:dyDescent="0.35">
      <c r="A42" s="73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6"/>
    </row>
    <row r="43" spans="1:29" ht="15" thickBot="1" x14ac:dyDescent="0.35"/>
    <row r="44" spans="1:29" x14ac:dyDescent="0.3">
      <c r="A44" s="78" t="s">
        <v>166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2"/>
    </row>
    <row r="45" spans="1:29" x14ac:dyDescent="0.3">
      <c r="A45" s="53"/>
      <c r="AC45" s="55"/>
    </row>
    <row r="46" spans="1:29" ht="187.2" x14ac:dyDescent="0.3">
      <c r="A46" s="79" t="s">
        <v>130</v>
      </c>
      <c r="B46" s="47" t="s">
        <v>131</v>
      </c>
      <c r="C46" s="47" t="s">
        <v>132</v>
      </c>
      <c r="D46" s="47" t="s">
        <v>133</v>
      </c>
      <c r="E46" s="80"/>
      <c r="F46" s="47" t="s">
        <v>134</v>
      </c>
      <c r="G46" s="47" t="s">
        <v>135</v>
      </c>
      <c r="H46" s="47" t="s">
        <v>136</v>
      </c>
      <c r="I46" s="47" t="s">
        <v>137</v>
      </c>
      <c r="J46" s="47" t="s">
        <v>138</v>
      </c>
      <c r="K46" s="47" t="s">
        <v>139</v>
      </c>
      <c r="L46" s="47" t="s">
        <v>140</v>
      </c>
      <c r="M46" s="47" t="s">
        <v>141</v>
      </c>
      <c r="O46" s="47" t="s">
        <v>142</v>
      </c>
      <c r="P46" s="81" t="s">
        <v>143</v>
      </c>
      <c r="Q46" s="77"/>
      <c r="R46" s="81" t="s">
        <v>144</v>
      </c>
      <c r="S46" s="81" t="s">
        <v>145</v>
      </c>
      <c r="T46" s="81" t="s">
        <v>146</v>
      </c>
      <c r="V46" s="47" t="s">
        <v>147</v>
      </c>
      <c r="W46" s="81" t="s">
        <v>148</v>
      </c>
      <c r="X46" s="77"/>
      <c r="Y46" s="81" t="s">
        <v>149</v>
      </c>
      <c r="Z46" s="81" t="s">
        <v>150</v>
      </c>
      <c r="AA46" s="81" t="s">
        <v>151</v>
      </c>
      <c r="AC46" s="55"/>
    </row>
    <row r="47" spans="1:29" x14ac:dyDescent="0.3">
      <c r="A47" s="82">
        <v>45717</v>
      </c>
      <c r="B47" s="58">
        <v>0</v>
      </c>
      <c r="C47" s="58">
        <v>31</v>
      </c>
      <c r="D47" s="58">
        <v>22</v>
      </c>
      <c r="E47" s="83"/>
      <c r="F47" s="84">
        <v>460.2</v>
      </c>
      <c r="G47" s="84">
        <v>430</v>
      </c>
      <c r="H47" s="85">
        <f t="shared" ref="H47:H59" si="4">F47*B47/C47</f>
        <v>0</v>
      </c>
      <c r="I47" s="85">
        <f t="shared" ref="I47:I59" si="5">G47*B47/C47</f>
        <v>0</v>
      </c>
      <c r="J47" s="84">
        <v>0</v>
      </c>
      <c r="K47" s="84">
        <v>0</v>
      </c>
      <c r="L47" s="85">
        <f t="shared" ref="L47:L59" si="6">J47*B47/C47</f>
        <v>0</v>
      </c>
      <c r="M47" s="85">
        <f t="shared" ref="M47:M59" si="7">K47*B47/C47</f>
        <v>0</v>
      </c>
      <c r="O47" s="86">
        <f>T15*H60</f>
        <v>0.42755007868817202</v>
      </c>
      <c r="P47" s="86">
        <f>MIN(O47,1)</f>
        <v>0.42755007868817202</v>
      </c>
      <c r="R47" s="86">
        <f>(I60-H60)/H60</f>
        <v>-9.0162495191805761E-2</v>
      </c>
      <c r="S47" s="86">
        <f>MIN(R47,1)</f>
        <v>-9.0162495191805761E-2</v>
      </c>
      <c r="T47" s="86">
        <f>MAX(-0.5,S47)</f>
        <v>-9.0162495191805761E-2</v>
      </c>
      <c r="V47" s="86">
        <f>U15*L60</f>
        <v>34.533333333333331</v>
      </c>
      <c r="W47" s="86">
        <f>MIN(V47,1)</f>
        <v>1</v>
      </c>
      <c r="Y47" s="86">
        <f>(M60-L60)/L60</f>
        <v>-8.1274131274131273E-2</v>
      </c>
      <c r="Z47" s="86">
        <f>MIN(Y47,1)</f>
        <v>-8.1274131274131273E-2</v>
      </c>
      <c r="AA47" s="86">
        <f>MAX(-0.5,Z47)</f>
        <v>-8.1274131274131273E-2</v>
      </c>
      <c r="AC47" s="55"/>
    </row>
    <row r="48" spans="1:29" x14ac:dyDescent="0.3">
      <c r="A48" s="82">
        <v>45748</v>
      </c>
      <c r="B48" s="58">
        <v>16</v>
      </c>
      <c r="C48" s="58">
        <v>30</v>
      </c>
      <c r="D48" s="58">
        <v>30</v>
      </c>
      <c r="E48" s="83"/>
      <c r="F48" s="84">
        <v>358.54</v>
      </c>
      <c r="G48" s="84">
        <v>360</v>
      </c>
      <c r="H48" s="85">
        <f t="shared" si="4"/>
        <v>191.22133333333335</v>
      </c>
      <c r="I48" s="85">
        <f t="shared" si="5"/>
        <v>192</v>
      </c>
      <c r="J48" s="84">
        <v>10</v>
      </c>
      <c r="K48" s="84">
        <v>8</v>
      </c>
      <c r="L48" s="85">
        <f t="shared" si="6"/>
        <v>5.333333333333333</v>
      </c>
      <c r="M48" s="85">
        <f t="shared" si="7"/>
        <v>4.2666666666666666</v>
      </c>
      <c r="AC48" s="55"/>
    </row>
    <row r="49" spans="1:29" x14ac:dyDescent="0.3">
      <c r="A49" s="82">
        <v>45778</v>
      </c>
      <c r="B49" s="58">
        <v>31</v>
      </c>
      <c r="C49" s="58">
        <v>31</v>
      </c>
      <c r="D49" s="58">
        <v>31</v>
      </c>
      <c r="E49" s="83"/>
      <c r="F49" s="84">
        <v>336.33</v>
      </c>
      <c r="G49" s="84">
        <v>300</v>
      </c>
      <c r="H49" s="85">
        <f t="shared" si="4"/>
        <v>336.33</v>
      </c>
      <c r="I49" s="85">
        <f t="shared" si="5"/>
        <v>300</v>
      </c>
      <c r="J49" s="84">
        <v>20</v>
      </c>
      <c r="K49" s="84">
        <v>13</v>
      </c>
      <c r="L49" s="85">
        <f t="shared" si="6"/>
        <v>20</v>
      </c>
      <c r="M49" s="85">
        <f t="shared" si="7"/>
        <v>13</v>
      </c>
      <c r="AC49" s="55"/>
    </row>
    <row r="50" spans="1:29" x14ac:dyDescent="0.3">
      <c r="A50" s="82">
        <v>45809</v>
      </c>
      <c r="B50" s="58">
        <v>30</v>
      </c>
      <c r="C50" s="58">
        <v>30</v>
      </c>
      <c r="D50" s="58">
        <v>30</v>
      </c>
      <c r="E50" s="83"/>
      <c r="F50" s="84">
        <v>318.25</v>
      </c>
      <c r="G50" s="84">
        <v>250</v>
      </c>
      <c r="H50" s="85">
        <f t="shared" si="4"/>
        <v>318.25</v>
      </c>
      <c r="I50" s="85">
        <f t="shared" si="5"/>
        <v>250</v>
      </c>
      <c r="J50" s="84">
        <v>40</v>
      </c>
      <c r="K50" s="84">
        <v>60</v>
      </c>
      <c r="L50" s="85">
        <f t="shared" si="6"/>
        <v>40</v>
      </c>
      <c r="M50" s="85">
        <f t="shared" si="7"/>
        <v>60</v>
      </c>
      <c r="AC50" s="55"/>
    </row>
    <row r="51" spans="1:29" x14ac:dyDescent="0.3">
      <c r="A51" s="82">
        <v>45839</v>
      </c>
      <c r="B51" s="58">
        <v>31</v>
      </c>
      <c r="C51" s="58">
        <v>31</v>
      </c>
      <c r="D51" s="58">
        <v>31</v>
      </c>
      <c r="E51" s="83"/>
      <c r="F51" s="84">
        <v>205.14</v>
      </c>
      <c r="G51" s="84">
        <v>200</v>
      </c>
      <c r="H51" s="85">
        <f t="shared" si="4"/>
        <v>205.14</v>
      </c>
      <c r="I51" s="85">
        <f t="shared" si="5"/>
        <v>200</v>
      </c>
      <c r="J51" s="84">
        <v>100</v>
      </c>
      <c r="K51" s="84">
        <v>85</v>
      </c>
      <c r="L51" s="85">
        <f t="shared" si="6"/>
        <v>100</v>
      </c>
      <c r="M51" s="85">
        <f t="shared" si="7"/>
        <v>85</v>
      </c>
      <c r="AC51" s="55"/>
    </row>
    <row r="52" spans="1:29" x14ac:dyDescent="0.3">
      <c r="A52" s="82">
        <v>45870</v>
      </c>
      <c r="B52" s="58">
        <v>31</v>
      </c>
      <c r="C52" s="58">
        <v>31</v>
      </c>
      <c r="D52" s="58">
        <v>31</v>
      </c>
      <c r="E52" s="83"/>
      <c r="F52" s="84">
        <v>60.17</v>
      </c>
      <c r="G52" s="84">
        <v>50</v>
      </c>
      <c r="H52" s="85">
        <f t="shared" si="4"/>
        <v>60.17</v>
      </c>
      <c r="I52" s="85">
        <f t="shared" si="5"/>
        <v>50</v>
      </c>
      <c r="J52" s="84">
        <v>110</v>
      </c>
      <c r="K52" s="84">
        <v>130</v>
      </c>
      <c r="L52" s="85">
        <f t="shared" si="6"/>
        <v>110</v>
      </c>
      <c r="M52" s="85">
        <f t="shared" si="7"/>
        <v>130</v>
      </c>
      <c r="AC52" s="55"/>
    </row>
    <row r="53" spans="1:29" x14ac:dyDescent="0.3">
      <c r="A53" s="82">
        <v>45901</v>
      </c>
      <c r="B53" s="58">
        <v>30</v>
      </c>
      <c r="C53" s="58">
        <v>30</v>
      </c>
      <c r="D53" s="58">
        <v>30</v>
      </c>
      <c r="E53" s="83"/>
      <c r="F53" s="84">
        <v>41.74</v>
      </c>
      <c r="G53" s="84">
        <v>40</v>
      </c>
      <c r="H53" s="85">
        <f t="shared" si="4"/>
        <v>41.74</v>
      </c>
      <c r="I53" s="85">
        <f t="shared" si="5"/>
        <v>40</v>
      </c>
      <c r="J53" s="84">
        <v>50</v>
      </c>
      <c r="K53" s="84">
        <v>20</v>
      </c>
      <c r="L53" s="85">
        <f t="shared" si="6"/>
        <v>50</v>
      </c>
      <c r="M53" s="85">
        <f t="shared" si="7"/>
        <v>20</v>
      </c>
      <c r="AC53" s="55"/>
    </row>
    <row r="54" spans="1:29" x14ac:dyDescent="0.3">
      <c r="A54" s="82">
        <v>45931</v>
      </c>
      <c r="B54" s="58">
        <v>31</v>
      </c>
      <c r="C54" s="58">
        <v>31</v>
      </c>
      <c r="D54" s="58">
        <v>31</v>
      </c>
      <c r="E54" s="83"/>
      <c r="F54" s="84">
        <v>59.24</v>
      </c>
      <c r="G54" s="84">
        <v>60</v>
      </c>
      <c r="H54" s="85">
        <f t="shared" si="4"/>
        <v>59.24</v>
      </c>
      <c r="I54" s="85">
        <f t="shared" si="5"/>
        <v>60</v>
      </c>
      <c r="J54" s="84">
        <v>20</v>
      </c>
      <c r="K54" s="84">
        <v>5</v>
      </c>
      <c r="L54" s="85">
        <f t="shared" si="6"/>
        <v>20</v>
      </c>
      <c r="M54" s="85">
        <f t="shared" si="7"/>
        <v>5</v>
      </c>
      <c r="AC54" s="55"/>
    </row>
    <row r="55" spans="1:29" x14ac:dyDescent="0.3">
      <c r="A55" s="82">
        <v>45962</v>
      </c>
      <c r="B55" s="58">
        <v>30</v>
      </c>
      <c r="C55" s="58">
        <v>30</v>
      </c>
      <c r="D55" s="58">
        <v>30</v>
      </c>
      <c r="E55" s="83"/>
      <c r="F55" s="84">
        <v>70.930000000000007</v>
      </c>
      <c r="G55" s="84">
        <v>70</v>
      </c>
      <c r="H55" s="85">
        <f t="shared" si="4"/>
        <v>70.930000000000007</v>
      </c>
      <c r="I55" s="85">
        <f t="shared" si="5"/>
        <v>70</v>
      </c>
      <c r="J55" s="84">
        <v>0</v>
      </c>
      <c r="K55" s="84">
        <v>0</v>
      </c>
      <c r="L55" s="85">
        <f t="shared" si="6"/>
        <v>0</v>
      </c>
      <c r="M55" s="85">
        <f t="shared" si="7"/>
        <v>0</v>
      </c>
      <c r="AC55" s="55"/>
    </row>
    <row r="56" spans="1:29" x14ac:dyDescent="0.3">
      <c r="A56" s="82">
        <v>45992</v>
      </c>
      <c r="B56" s="58">
        <v>31</v>
      </c>
      <c r="C56" s="58">
        <v>31</v>
      </c>
      <c r="D56" s="58">
        <v>31</v>
      </c>
      <c r="E56" s="83"/>
      <c r="F56" s="84">
        <v>215.37</v>
      </c>
      <c r="G56" s="84">
        <v>200</v>
      </c>
      <c r="H56" s="85">
        <f t="shared" si="4"/>
        <v>215.37</v>
      </c>
      <c r="I56" s="85">
        <f t="shared" si="5"/>
        <v>200</v>
      </c>
      <c r="J56" s="84">
        <v>0</v>
      </c>
      <c r="K56" s="84">
        <v>0</v>
      </c>
      <c r="L56" s="85">
        <f t="shared" si="6"/>
        <v>0</v>
      </c>
      <c r="M56" s="85">
        <f t="shared" si="7"/>
        <v>0</v>
      </c>
      <c r="AC56" s="55"/>
    </row>
    <row r="57" spans="1:29" x14ac:dyDescent="0.3">
      <c r="A57" s="82">
        <v>46023</v>
      </c>
      <c r="B57" s="58">
        <v>20</v>
      </c>
      <c r="C57" s="58">
        <v>31</v>
      </c>
      <c r="D57" s="58">
        <v>31</v>
      </c>
      <c r="E57" s="83"/>
      <c r="F57" s="84">
        <v>360.5</v>
      </c>
      <c r="G57" s="84">
        <v>330</v>
      </c>
      <c r="H57" s="85">
        <f t="shared" si="4"/>
        <v>232.58064516129033</v>
      </c>
      <c r="I57" s="85">
        <f t="shared" si="5"/>
        <v>212.90322580645162</v>
      </c>
      <c r="J57" s="84">
        <v>0</v>
      </c>
      <c r="K57" s="84">
        <v>0</v>
      </c>
      <c r="L57" s="85">
        <f t="shared" si="6"/>
        <v>0</v>
      </c>
      <c r="M57" s="85">
        <f t="shared" si="7"/>
        <v>0</v>
      </c>
      <c r="AC57" s="55"/>
    </row>
    <row r="58" spans="1:29" x14ac:dyDescent="0.3">
      <c r="A58" s="82">
        <v>46054</v>
      </c>
      <c r="B58" s="58">
        <v>0</v>
      </c>
      <c r="C58" s="58">
        <v>28</v>
      </c>
      <c r="D58" s="58">
        <v>28</v>
      </c>
      <c r="E58" s="83"/>
      <c r="F58" s="84">
        <v>365.7</v>
      </c>
      <c r="G58" s="84">
        <v>370</v>
      </c>
      <c r="H58" s="85">
        <f t="shared" si="4"/>
        <v>0</v>
      </c>
      <c r="I58" s="85">
        <f t="shared" si="5"/>
        <v>0</v>
      </c>
      <c r="J58" s="84">
        <v>0</v>
      </c>
      <c r="K58" s="84">
        <v>0</v>
      </c>
      <c r="L58" s="85">
        <f t="shared" si="6"/>
        <v>0</v>
      </c>
      <c r="M58" s="85">
        <f t="shared" si="7"/>
        <v>0</v>
      </c>
      <c r="AC58" s="55"/>
    </row>
    <row r="59" spans="1:29" x14ac:dyDescent="0.3">
      <c r="A59" s="82">
        <v>46082</v>
      </c>
      <c r="B59" s="58">
        <v>0</v>
      </c>
      <c r="C59" s="58">
        <v>31</v>
      </c>
      <c r="D59" s="58">
        <v>9</v>
      </c>
      <c r="E59" s="83"/>
      <c r="F59" s="84">
        <v>471</v>
      </c>
      <c r="G59" s="84">
        <v>430</v>
      </c>
      <c r="H59" s="85">
        <f t="shared" si="4"/>
        <v>0</v>
      </c>
      <c r="I59" s="85">
        <f t="shared" si="5"/>
        <v>0</v>
      </c>
      <c r="J59" s="84">
        <v>0</v>
      </c>
      <c r="K59" s="84">
        <v>0</v>
      </c>
      <c r="L59" s="85">
        <f t="shared" si="6"/>
        <v>0</v>
      </c>
      <c r="M59" s="85">
        <f t="shared" si="7"/>
        <v>0</v>
      </c>
      <c r="AC59" s="55"/>
    </row>
    <row r="60" spans="1:29" x14ac:dyDescent="0.3">
      <c r="A60" s="53"/>
      <c r="F60" s="87"/>
      <c r="G60" s="88" t="s">
        <v>18</v>
      </c>
      <c r="H60" s="89">
        <f>IF(SUM(H47:H59)&lt;1,1,SUM(H47:H59))</f>
        <v>1730.9719784946237</v>
      </c>
      <c r="I60" s="89">
        <f>IF(SUM(I47:I59)&lt;1,1,SUM(I47:I59))</f>
        <v>1574.9032258064517</v>
      </c>
      <c r="J60" s="87"/>
      <c r="K60" s="88" t="s">
        <v>18</v>
      </c>
      <c r="L60" s="89">
        <f>IF(SUM(L47:L59)&lt;1,1,SUM(L47:L59))</f>
        <v>345.33333333333331</v>
      </c>
      <c r="M60" s="89">
        <f>IF(SUM(M47:M59)&lt;1,1,SUM(M47:M59))</f>
        <v>317.26666666666665</v>
      </c>
      <c r="AC60" s="55"/>
    </row>
    <row r="61" spans="1:29" x14ac:dyDescent="0.3">
      <c r="A61" s="53"/>
      <c r="AC61" s="55"/>
    </row>
    <row r="62" spans="1:29" x14ac:dyDescent="0.3">
      <c r="A62" s="99" t="s">
        <v>171</v>
      </c>
      <c r="AC62" s="55"/>
    </row>
    <row r="63" spans="1:29" x14ac:dyDescent="0.3">
      <c r="A63" s="233" t="s">
        <v>168</v>
      </c>
      <c r="B63" s="234"/>
      <c r="C63" s="96">
        <f>C8*(R15/(R14*M14+R15*M15+R16*M16))*N15*P47*T47</f>
        <v>-55673.011705873432</v>
      </c>
      <c r="D63" s="91"/>
      <c r="AC63" s="55"/>
    </row>
    <row r="64" spans="1:29" ht="15" thickBot="1" x14ac:dyDescent="0.35">
      <c r="A64" s="73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6"/>
    </row>
    <row r="65" spans="1:29" ht="15" thickBot="1" x14ac:dyDescent="0.35"/>
    <row r="66" spans="1:29" x14ac:dyDescent="0.3">
      <c r="A66" s="78" t="s">
        <v>167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2"/>
    </row>
    <row r="67" spans="1:29" x14ac:dyDescent="0.3">
      <c r="A67" s="53"/>
      <c r="AC67" s="55"/>
    </row>
    <row r="68" spans="1:29" ht="187.2" x14ac:dyDescent="0.3">
      <c r="A68" s="79" t="s">
        <v>130</v>
      </c>
      <c r="B68" s="47" t="s">
        <v>131</v>
      </c>
      <c r="C68" s="47" t="s">
        <v>132</v>
      </c>
      <c r="D68" s="47" t="s">
        <v>133</v>
      </c>
      <c r="F68" s="47" t="s">
        <v>134</v>
      </c>
      <c r="G68" s="47" t="s">
        <v>135</v>
      </c>
      <c r="H68" s="47" t="s">
        <v>136</v>
      </c>
      <c r="I68" s="47" t="s">
        <v>137</v>
      </c>
      <c r="J68" s="47" t="s">
        <v>138</v>
      </c>
      <c r="K68" s="47" t="s">
        <v>139</v>
      </c>
      <c r="L68" s="47" t="s">
        <v>140</v>
      </c>
      <c r="M68" s="47" t="s">
        <v>141</v>
      </c>
      <c r="O68" s="47" t="s">
        <v>142</v>
      </c>
      <c r="P68" s="81" t="s">
        <v>143</v>
      </c>
      <c r="Q68" s="77"/>
      <c r="R68" s="81" t="s">
        <v>144</v>
      </c>
      <c r="S68" s="81" t="s">
        <v>145</v>
      </c>
      <c r="T68" s="81" t="s">
        <v>146</v>
      </c>
      <c r="V68" s="47" t="s">
        <v>147</v>
      </c>
      <c r="W68" s="81" t="s">
        <v>148</v>
      </c>
      <c r="X68" s="77"/>
      <c r="Y68" s="81" t="s">
        <v>149</v>
      </c>
      <c r="Z68" s="81" t="s">
        <v>150</v>
      </c>
      <c r="AA68" s="81" t="s">
        <v>151</v>
      </c>
      <c r="AC68" s="55"/>
    </row>
    <row r="69" spans="1:29" x14ac:dyDescent="0.3">
      <c r="A69" s="82">
        <v>45717</v>
      </c>
      <c r="B69" s="58">
        <v>0</v>
      </c>
      <c r="C69" s="58">
        <v>31</v>
      </c>
      <c r="D69" s="58">
        <v>22</v>
      </c>
      <c r="F69" s="84">
        <v>460.2</v>
      </c>
      <c r="G69" s="84">
        <v>430</v>
      </c>
      <c r="H69" s="85">
        <f t="shared" ref="H69:H81" si="8">F69*B69/C69</f>
        <v>0</v>
      </c>
      <c r="I69" s="85">
        <f t="shared" ref="I69:I81" si="9">G69*B69/C69</f>
        <v>0</v>
      </c>
      <c r="J69" s="84">
        <v>0</v>
      </c>
      <c r="K69" s="84">
        <v>0</v>
      </c>
      <c r="L69" s="85">
        <f t="shared" ref="L69:L81" si="10">J69*B69/C69</f>
        <v>0</v>
      </c>
      <c r="M69" s="85">
        <f t="shared" ref="M69:M81" si="11">K69*B69/C69</f>
        <v>0</v>
      </c>
      <c r="O69" s="86">
        <f>T16*H82</f>
        <v>0.42600815548387094</v>
      </c>
      <c r="P69" s="86">
        <f>MIN(O69,1)</f>
        <v>0.42600815548387094</v>
      </c>
      <c r="R69" s="86">
        <f>(I82-H82)/H82</f>
        <v>-4.9173132519206346E-2</v>
      </c>
      <c r="S69" s="86">
        <f>MIN(R69,1)</f>
        <v>-4.9173132519206346E-2</v>
      </c>
      <c r="T69" s="86">
        <f>MAX(-0.5,S69)</f>
        <v>-4.9173132519206346E-2</v>
      </c>
      <c r="V69" s="86">
        <f>U16*L82</f>
        <v>0.12154838709677419</v>
      </c>
      <c r="W69" s="86">
        <f>MIN(V69,1)</f>
        <v>0.12154838709677419</v>
      </c>
      <c r="Y69" s="86">
        <f>(M82-L82)/L82</f>
        <v>-0.14012738853503193</v>
      </c>
      <c r="Z69" s="86">
        <f>MIN(Y69,1)</f>
        <v>-0.14012738853503193</v>
      </c>
      <c r="AA69" s="86">
        <f>MAX(-0.5,Z69)</f>
        <v>-0.14012738853503193</v>
      </c>
      <c r="AC69" s="55"/>
    </row>
    <row r="70" spans="1:29" x14ac:dyDescent="0.3">
      <c r="A70" s="82">
        <v>45748</v>
      </c>
      <c r="B70" s="58">
        <v>0</v>
      </c>
      <c r="C70" s="58">
        <v>30</v>
      </c>
      <c r="D70" s="58">
        <v>30</v>
      </c>
      <c r="F70" s="84">
        <v>358.54</v>
      </c>
      <c r="G70" s="84">
        <v>360</v>
      </c>
      <c r="H70" s="85">
        <f t="shared" si="8"/>
        <v>0</v>
      </c>
      <c r="I70" s="85">
        <f t="shared" si="9"/>
        <v>0</v>
      </c>
      <c r="J70" s="84">
        <v>10</v>
      </c>
      <c r="K70" s="84">
        <v>8</v>
      </c>
      <c r="L70" s="85">
        <f t="shared" si="10"/>
        <v>0</v>
      </c>
      <c r="M70" s="85">
        <f t="shared" si="11"/>
        <v>0</v>
      </c>
      <c r="AC70" s="55"/>
    </row>
    <row r="71" spans="1:29" x14ac:dyDescent="0.3">
      <c r="A71" s="82">
        <v>45778</v>
      </c>
      <c r="B71" s="58">
        <v>0</v>
      </c>
      <c r="C71" s="58">
        <v>31</v>
      </c>
      <c r="D71" s="58">
        <v>31</v>
      </c>
      <c r="F71" s="84">
        <v>336.33</v>
      </c>
      <c r="G71" s="84">
        <v>300</v>
      </c>
      <c r="H71" s="85">
        <f t="shared" si="8"/>
        <v>0</v>
      </c>
      <c r="I71" s="85">
        <f t="shared" si="9"/>
        <v>0</v>
      </c>
      <c r="J71" s="84">
        <v>20</v>
      </c>
      <c r="K71" s="84">
        <v>13</v>
      </c>
      <c r="L71" s="85">
        <f t="shared" si="10"/>
        <v>0</v>
      </c>
      <c r="M71" s="85">
        <f t="shared" si="11"/>
        <v>0</v>
      </c>
      <c r="AC71" s="55"/>
    </row>
    <row r="72" spans="1:29" x14ac:dyDescent="0.3">
      <c r="A72" s="82">
        <v>45809</v>
      </c>
      <c r="B72" s="58">
        <v>0</v>
      </c>
      <c r="C72" s="58">
        <v>30</v>
      </c>
      <c r="D72" s="58">
        <v>30</v>
      </c>
      <c r="F72" s="84">
        <v>318.25</v>
      </c>
      <c r="G72" s="84">
        <v>250</v>
      </c>
      <c r="H72" s="85">
        <f t="shared" si="8"/>
        <v>0</v>
      </c>
      <c r="I72" s="85">
        <f t="shared" si="9"/>
        <v>0</v>
      </c>
      <c r="J72" s="84">
        <v>40</v>
      </c>
      <c r="K72" s="84">
        <v>60</v>
      </c>
      <c r="L72" s="85">
        <f t="shared" si="10"/>
        <v>0</v>
      </c>
      <c r="M72" s="85">
        <f t="shared" si="11"/>
        <v>0</v>
      </c>
      <c r="AC72" s="55"/>
    </row>
    <row r="73" spans="1:29" x14ac:dyDescent="0.3">
      <c r="A73" s="82">
        <v>45839</v>
      </c>
      <c r="B73" s="58">
        <v>7</v>
      </c>
      <c r="C73" s="58">
        <v>31</v>
      </c>
      <c r="D73" s="58">
        <v>31</v>
      </c>
      <c r="F73" s="84">
        <v>205.14</v>
      </c>
      <c r="G73" s="84">
        <v>200</v>
      </c>
      <c r="H73" s="85">
        <f t="shared" si="8"/>
        <v>46.321935483870966</v>
      </c>
      <c r="I73" s="85">
        <f t="shared" si="9"/>
        <v>45.161290322580648</v>
      </c>
      <c r="J73" s="84">
        <v>100</v>
      </c>
      <c r="K73" s="84">
        <v>85</v>
      </c>
      <c r="L73" s="85">
        <f t="shared" si="10"/>
        <v>22.580645161290324</v>
      </c>
      <c r="M73" s="85">
        <f t="shared" si="11"/>
        <v>19.193548387096776</v>
      </c>
      <c r="AC73" s="55"/>
    </row>
    <row r="74" spans="1:29" x14ac:dyDescent="0.3">
      <c r="A74" s="82">
        <v>45870</v>
      </c>
      <c r="B74" s="58">
        <v>31</v>
      </c>
      <c r="C74" s="58">
        <v>31</v>
      </c>
      <c r="D74" s="58">
        <v>31</v>
      </c>
      <c r="F74" s="84">
        <v>60.17</v>
      </c>
      <c r="G74" s="84">
        <v>50</v>
      </c>
      <c r="H74" s="85">
        <f t="shared" si="8"/>
        <v>60.17</v>
      </c>
      <c r="I74" s="85">
        <f t="shared" si="9"/>
        <v>50</v>
      </c>
      <c r="J74" s="84">
        <v>110</v>
      </c>
      <c r="K74" s="84">
        <v>130</v>
      </c>
      <c r="L74" s="85">
        <f t="shared" si="10"/>
        <v>110</v>
      </c>
      <c r="M74" s="85">
        <f t="shared" si="11"/>
        <v>130</v>
      </c>
      <c r="AC74" s="55"/>
    </row>
    <row r="75" spans="1:29" x14ac:dyDescent="0.3">
      <c r="A75" s="82">
        <v>45901</v>
      </c>
      <c r="B75" s="58">
        <v>30</v>
      </c>
      <c r="C75" s="58">
        <v>30</v>
      </c>
      <c r="D75" s="58">
        <v>30</v>
      </c>
      <c r="F75" s="84">
        <v>41.74</v>
      </c>
      <c r="G75" s="84">
        <v>40</v>
      </c>
      <c r="H75" s="85">
        <f t="shared" si="8"/>
        <v>41.74</v>
      </c>
      <c r="I75" s="85">
        <f t="shared" si="9"/>
        <v>40</v>
      </c>
      <c r="J75" s="84">
        <v>50</v>
      </c>
      <c r="K75" s="84">
        <v>20</v>
      </c>
      <c r="L75" s="85">
        <f t="shared" si="10"/>
        <v>50</v>
      </c>
      <c r="M75" s="85">
        <f t="shared" si="11"/>
        <v>20</v>
      </c>
      <c r="AC75" s="55"/>
    </row>
    <row r="76" spans="1:29" x14ac:dyDescent="0.3">
      <c r="A76" s="82">
        <v>45931</v>
      </c>
      <c r="B76" s="58">
        <v>31</v>
      </c>
      <c r="C76" s="58">
        <v>31</v>
      </c>
      <c r="D76" s="58">
        <v>31</v>
      </c>
      <c r="F76" s="84">
        <v>59.24</v>
      </c>
      <c r="G76" s="84">
        <v>60</v>
      </c>
      <c r="H76" s="85">
        <f t="shared" si="8"/>
        <v>59.24</v>
      </c>
      <c r="I76" s="85">
        <f t="shared" si="9"/>
        <v>60</v>
      </c>
      <c r="J76" s="84">
        <v>20</v>
      </c>
      <c r="K76" s="84">
        <v>5</v>
      </c>
      <c r="L76" s="85">
        <f t="shared" si="10"/>
        <v>20</v>
      </c>
      <c r="M76" s="85">
        <f t="shared" si="11"/>
        <v>5</v>
      </c>
      <c r="AC76" s="55"/>
    </row>
    <row r="77" spans="1:29" x14ac:dyDescent="0.3">
      <c r="A77" s="82">
        <v>45962</v>
      </c>
      <c r="B77" s="58">
        <v>30</v>
      </c>
      <c r="C77" s="58">
        <v>30</v>
      </c>
      <c r="D77" s="58">
        <v>30</v>
      </c>
      <c r="F77" s="84">
        <v>70.930000000000007</v>
      </c>
      <c r="G77" s="84">
        <v>70</v>
      </c>
      <c r="H77" s="85">
        <f t="shared" si="8"/>
        <v>70.930000000000007</v>
      </c>
      <c r="I77" s="85">
        <f t="shared" si="9"/>
        <v>70</v>
      </c>
      <c r="J77" s="84">
        <v>0</v>
      </c>
      <c r="K77" s="84">
        <v>0</v>
      </c>
      <c r="L77" s="85">
        <f t="shared" si="10"/>
        <v>0</v>
      </c>
      <c r="M77" s="85">
        <f t="shared" si="11"/>
        <v>0</v>
      </c>
      <c r="AC77" s="55"/>
    </row>
    <row r="78" spans="1:29" x14ac:dyDescent="0.3">
      <c r="A78" s="82">
        <v>45992</v>
      </c>
      <c r="B78" s="58">
        <v>31</v>
      </c>
      <c r="C78" s="58">
        <v>31</v>
      </c>
      <c r="D78" s="58">
        <v>31</v>
      </c>
      <c r="F78" s="84">
        <v>215.37</v>
      </c>
      <c r="G78" s="84">
        <v>200</v>
      </c>
      <c r="H78" s="85">
        <f t="shared" si="8"/>
        <v>215.37</v>
      </c>
      <c r="I78" s="85">
        <f t="shared" si="9"/>
        <v>200</v>
      </c>
      <c r="J78" s="84">
        <v>0</v>
      </c>
      <c r="K78" s="84">
        <v>0</v>
      </c>
      <c r="L78" s="85">
        <f t="shared" si="10"/>
        <v>0</v>
      </c>
      <c r="M78" s="85">
        <f t="shared" si="11"/>
        <v>0</v>
      </c>
      <c r="AC78" s="55"/>
    </row>
    <row r="79" spans="1:29" x14ac:dyDescent="0.3">
      <c r="A79" s="82">
        <v>46023</v>
      </c>
      <c r="B79" s="58">
        <v>31</v>
      </c>
      <c r="C79" s="58">
        <v>31</v>
      </c>
      <c r="D79" s="58">
        <v>31</v>
      </c>
      <c r="F79" s="84">
        <v>360.5</v>
      </c>
      <c r="G79" s="84">
        <v>330</v>
      </c>
      <c r="H79" s="85">
        <f t="shared" si="8"/>
        <v>360.5</v>
      </c>
      <c r="I79" s="85">
        <f t="shared" si="9"/>
        <v>330</v>
      </c>
      <c r="J79" s="84">
        <v>0</v>
      </c>
      <c r="K79" s="84">
        <v>0</v>
      </c>
      <c r="L79" s="85">
        <f t="shared" si="10"/>
        <v>0</v>
      </c>
      <c r="M79" s="85">
        <f t="shared" si="11"/>
        <v>0</v>
      </c>
      <c r="AC79" s="55"/>
    </row>
    <row r="80" spans="1:29" x14ac:dyDescent="0.3">
      <c r="A80" s="82">
        <v>46054</v>
      </c>
      <c r="B80" s="58">
        <v>28</v>
      </c>
      <c r="C80" s="58">
        <v>28</v>
      </c>
      <c r="D80" s="58">
        <v>28</v>
      </c>
      <c r="F80" s="84">
        <v>365.7</v>
      </c>
      <c r="G80" s="84">
        <v>370</v>
      </c>
      <c r="H80" s="85">
        <f t="shared" si="8"/>
        <v>365.7</v>
      </c>
      <c r="I80" s="85">
        <f t="shared" si="9"/>
        <v>370</v>
      </c>
      <c r="J80" s="84">
        <v>0</v>
      </c>
      <c r="K80" s="84">
        <v>0</v>
      </c>
      <c r="L80" s="85">
        <f t="shared" si="10"/>
        <v>0</v>
      </c>
      <c r="M80" s="85">
        <f t="shared" si="11"/>
        <v>0</v>
      </c>
      <c r="AC80" s="55"/>
    </row>
    <row r="81" spans="1:29" x14ac:dyDescent="0.3">
      <c r="A81" s="82">
        <v>46082</v>
      </c>
      <c r="B81" s="58">
        <v>9</v>
      </c>
      <c r="C81" s="58">
        <v>31</v>
      </c>
      <c r="D81" s="58">
        <v>9</v>
      </c>
      <c r="F81" s="84">
        <v>471</v>
      </c>
      <c r="G81" s="84">
        <v>430</v>
      </c>
      <c r="H81" s="85">
        <f t="shared" si="8"/>
        <v>136.74193548387098</v>
      </c>
      <c r="I81" s="85">
        <f t="shared" si="9"/>
        <v>124.83870967741936</v>
      </c>
      <c r="J81" s="84">
        <v>0</v>
      </c>
      <c r="K81" s="84">
        <v>0</v>
      </c>
      <c r="L81" s="85">
        <f t="shared" si="10"/>
        <v>0</v>
      </c>
      <c r="M81" s="85">
        <f t="shared" si="11"/>
        <v>0</v>
      </c>
      <c r="AC81" s="55"/>
    </row>
    <row r="82" spans="1:29" x14ac:dyDescent="0.3">
      <c r="A82" s="53"/>
      <c r="F82" s="87"/>
      <c r="G82" s="88" t="s">
        <v>18</v>
      </c>
      <c r="H82" s="89">
        <f>IF(SUM(H69:H81)&lt;1,1,SUM(H69:H81))</f>
        <v>1356.713870967742</v>
      </c>
      <c r="I82" s="89">
        <f>IF(SUM(I69:I81)&lt;1,1,SUM(I69:I81))</f>
        <v>1289.9999999999998</v>
      </c>
      <c r="J82" s="87"/>
      <c r="K82" s="88" t="s">
        <v>18</v>
      </c>
      <c r="L82" s="89">
        <f>IF(SUM(L69:L81)&lt;1,1,SUM(L69:L81))</f>
        <v>202.58064516129033</v>
      </c>
      <c r="M82" s="89">
        <f>IF(SUM(M69:M81)&lt;1,1,SUM(M69:M81))</f>
        <v>174.19354838709677</v>
      </c>
      <c r="AC82" s="55"/>
    </row>
    <row r="83" spans="1:29" x14ac:dyDescent="0.3">
      <c r="A83" s="53"/>
      <c r="AC83" s="55"/>
    </row>
    <row r="84" spans="1:29" x14ac:dyDescent="0.3">
      <c r="A84" s="53" t="s">
        <v>152</v>
      </c>
      <c r="AC84" s="55"/>
    </row>
    <row r="85" spans="1:29" x14ac:dyDescent="0.3">
      <c r="A85" s="240" t="s">
        <v>153</v>
      </c>
      <c r="B85" s="241"/>
      <c r="C85" s="96" t="s">
        <v>173</v>
      </c>
      <c r="D85" s="91" t="s">
        <v>154</v>
      </c>
      <c r="AC85" s="55"/>
    </row>
    <row r="86" spans="1:29" x14ac:dyDescent="0.3">
      <c r="A86" s="53"/>
      <c r="AC86" s="55"/>
    </row>
    <row r="87" spans="1:29" x14ac:dyDescent="0.3">
      <c r="A87" s="99" t="s">
        <v>172</v>
      </c>
      <c r="AC87" s="55"/>
    </row>
    <row r="88" spans="1:29" x14ac:dyDescent="0.3">
      <c r="A88" s="233" t="s">
        <v>168</v>
      </c>
      <c r="B88" s="234"/>
      <c r="C88" s="96">
        <f>C8*(R16/(R14*M14+R15*M15+R16*M16))*N16*P69*T69</f>
        <v>-1290.1595130682633</v>
      </c>
      <c r="AC88" s="55"/>
    </row>
    <row r="89" spans="1:29" ht="15" thickBot="1" x14ac:dyDescent="0.35">
      <c r="A89" s="73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6"/>
    </row>
    <row r="90" spans="1:29" ht="15" thickBot="1" x14ac:dyDescent="0.35"/>
    <row r="91" spans="1:29" x14ac:dyDescent="0.3">
      <c r="A91" s="78" t="s">
        <v>155</v>
      </c>
      <c r="B91" s="51"/>
      <c r="C91" s="51"/>
      <c r="D91" s="51"/>
      <c r="E91" s="51"/>
      <c r="F91" s="52"/>
    </row>
    <row r="92" spans="1:29" x14ac:dyDescent="0.3">
      <c r="A92" s="53"/>
      <c r="F92" s="55"/>
    </row>
    <row r="93" spans="1:29" x14ac:dyDescent="0.3">
      <c r="A93" s="53" t="s">
        <v>156</v>
      </c>
      <c r="F93" s="55"/>
    </row>
    <row r="94" spans="1:29" x14ac:dyDescent="0.3">
      <c r="A94" s="101" t="s">
        <v>157</v>
      </c>
      <c r="B94" s="96">
        <f>C41+C63+C88</f>
        <v>-63801.719965425022</v>
      </c>
      <c r="F94" s="55"/>
    </row>
    <row r="95" spans="1:29" x14ac:dyDescent="0.3">
      <c r="A95" s="101" t="s">
        <v>158</v>
      </c>
      <c r="B95" s="96">
        <v>0</v>
      </c>
      <c r="F95" s="55"/>
    </row>
    <row r="96" spans="1:29" ht="23.4" x14ac:dyDescent="0.45">
      <c r="A96" s="101" t="s">
        <v>159</v>
      </c>
      <c r="B96" s="96">
        <v>0</v>
      </c>
      <c r="F96" s="55"/>
      <c r="I96" s="98" t="s">
        <v>169</v>
      </c>
      <c r="X96" s="98" t="s">
        <v>170</v>
      </c>
    </row>
    <row r="97" spans="1:6" ht="15" thickBot="1" x14ac:dyDescent="0.35">
      <c r="A97" s="73"/>
      <c r="B97" s="75"/>
      <c r="C97" s="75"/>
      <c r="D97" s="75"/>
      <c r="E97" s="75"/>
      <c r="F97" s="76"/>
    </row>
    <row r="98" spans="1:6" ht="15" thickBot="1" x14ac:dyDescent="0.35"/>
    <row r="99" spans="1:6" x14ac:dyDescent="0.3">
      <c r="A99" s="78" t="s">
        <v>160</v>
      </c>
      <c r="B99" s="51"/>
      <c r="C99" s="51"/>
      <c r="D99" s="51"/>
      <c r="E99" s="51"/>
      <c r="F99" s="52"/>
    </row>
    <row r="100" spans="1:6" x14ac:dyDescent="0.3">
      <c r="A100" s="53"/>
      <c r="F100" s="55"/>
    </row>
    <row r="101" spans="1:6" x14ac:dyDescent="0.3">
      <c r="A101" s="53" t="s">
        <v>161</v>
      </c>
      <c r="F101" s="55"/>
    </row>
    <row r="102" spans="1:6" x14ac:dyDescent="0.3">
      <c r="A102" s="92" t="s">
        <v>162</v>
      </c>
      <c r="B102" s="90">
        <f>B94+B95+B96</f>
        <v>-63801.719965425022</v>
      </c>
      <c r="F102" s="55"/>
    </row>
    <row r="103" spans="1:6" ht="15" thickBot="1" x14ac:dyDescent="0.35">
      <c r="A103" s="73"/>
      <c r="B103" s="75"/>
      <c r="C103" s="75"/>
      <c r="D103" s="75"/>
      <c r="E103" s="75"/>
      <c r="F103" s="76"/>
    </row>
    <row r="104" spans="1:6" ht="15" thickBot="1" x14ac:dyDescent="0.35"/>
    <row r="105" spans="1:6" x14ac:dyDescent="0.3">
      <c r="A105" s="78" t="s">
        <v>163</v>
      </c>
      <c r="B105" s="51"/>
      <c r="C105" s="51"/>
      <c r="D105" s="51"/>
      <c r="E105" s="51"/>
      <c r="F105" s="52"/>
    </row>
    <row r="106" spans="1:6" x14ac:dyDescent="0.3">
      <c r="A106" s="53"/>
      <c r="F106" s="55"/>
    </row>
    <row r="107" spans="1:6" x14ac:dyDescent="0.3">
      <c r="A107" s="53" t="s">
        <v>164</v>
      </c>
      <c r="F107" s="55"/>
    </row>
    <row r="108" spans="1:6" x14ac:dyDescent="0.3">
      <c r="A108" s="100" t="s">
        <v>165</v>
      </c>
      <c r="B108" s="102">
        <f>C8+B102</f>
        <v>1619400.2800345749</v>
      </c>
      <c r="F108" s="55"/>
    </row>
    <row r="109" spans="1:6" ht="15" thickBot="1" x14ac:dyDescent="0.35">
      <c r="A109" s="73"/>
      <c r="B109" s="75"/>
      <c r="C109" s="75"/>
      <c r="D109" s="75"/>
      <c r="E109" s="75"/>
      <c r="F109" s="76"/>
    </row>
  </sheetData>
  <mergeCells count="7">
    <mergeCell ref="A88:B88"/>
    <mergeCell ref="A3:A19"/>
    <mergeCell ref="C13:D13"/>
    <mergeCell ref="K18:L18"/>
    <mergeCell ref="A41:B41"/>
    <mergeCell ref="A63:B63"/>
    <mergeCell ref="A85:B85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Variante - 3 Cat.</vt:lpstr>
      <vt:lpstr>Ajustement climatique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Madeline Corlouer</dc:creator>
  <cp:lastModifiedBy>Madeline Corlouer</cp:lastModifiedBy>
  <dcterms:created xsi:type="dcterms:W3CDTF">2024-06-13T12:00:02Z</dcterms:created>
  <dcterms:modified xsi:type="dcterms:W3CDTF">2024-10-18T10:13:58Z</dcterms:modified>
</cp:coreProperties>
</file>