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730" windowHeight="11580"/>
  </bookViews>
  <sheets>
    <sheet name="LIS AUTORISES LE PRIEURE" sheetId="2" r:id="rId1"/>
    <sheet name="ACTIVITE 2019-2022" sheetId="1" r:id="rId2"/>
    <sheet name="2022" sheetId="9" r:id="rId3"/>
    <sheet name="2021" sheetId="8" r:id="rId4"/>
    <sheet name="2020" sheetId="7" r:id="rId5"/>
    <sheet name="supp 2022" sheetId="10" r:id="rId6"/>
    <sheet name="2019" sheetId="5" r:id="rId7"/>
    <sheet name="TYPE REPAS 2022-2019" sheetId="4" r:id="rId8"/>
  </sheets>
  <calcPr calcId="145621"/>
</workbook>
</file>

<file path=xl/calcChain.xml><?xml version="1.0" encoding="utf-8"?>
<calcChain xmlns="http://schemas.openxmlformats.org/spreadsheetml/2006/main">
  <c r="F21" i="9" l="1"/>
  <c r="F23" i="9"/>
  <c r="F22" i="9"/>
  <c r="N30" i="10" l="1"/>
  <c r="M27" i="10"/>
  <c r="M8" i="10"/>
  <c r="M30" i="10"/>
  <c r="G30" i="10"/>
  <c r="M10" i="10"/>
  <c r="M4" i="10"/>
  <c r="J7" i="10" l="1"/>
  <c r="N7" i="10" s="1"/>
  <c r="J10" i="10"/>
  <c r="J30" i="10"/>
  <c r="F27" i="10"/>
  <c r="F33" i="10"/>
  <c r="F4" i="10"/>
  <c r="F8" i="10"/>
  <c r="F30" i="10"/>
  <c r="L4" i="10"/>
  <c r="K4" i="10"/>
  <c r="E27" i="10"/>
  <c r="E19" i="10"/>
  <c r="N19" i="10" s="1"/>
  <c r="N11" i="10"/>
  <c r="L30" i="10"/>
  <c r="N28" i="10"/>
  <c r="N6" i="10"/>
  <c r="N4" i="10"/>
  <c r="N17" i="10"/>
  <c r="N21" i="10"/>
  <c r="N3" i="10"/>
  <c r="N16" i="10"/>
  <c r="N9" i="10"/>
  <c r="N33" i="10"/>
  <c r="N13" i="10"/>
  <c r="N12" i="10"/>
  <c r="N23" i="10"/>
  <c r="N14" i="10"/>
  <c r="N32" i="10"/>
  <c r="N25" i="10"/>
  <c r="N27" i="10"/>
  <c r="N2" i="10"/>
  <c r="N31" i="10"/>
  <c r="N5" i="10"/>
  <c r="N24" i="10"/>
  <c r="N18" i="10"/>
  <c r="N22" i="10"/>
  <c r="N29" i="10"/>
  <c r="N26" i="10"/>
  <c r="N20" i="10"/>
  <c r="K30" i="10"/>
  <c r="K8" i="10" l="1"/>
  <c r="N8" i="10" s="1"/>
  <c r="K15" i="10"/>
  <c r="K10" i="10"/>
  <c r="N10" i="10" s="1"/>
  <c r="L8" i="10"/>
  <c r="L15" i="10"/>
  <c r="L10" i="10"/>
  <c r="N15" i="10" l="1"/>
  <c r="D21" i="5"/>
  <c r="D20" i="5"/>
  <c r="D19" i="5"/>
  <c r="J15" i="8"/>
  <c r="J16" i="9"/>
  <c r="H16" i="9"/>
  <c r="G16" i="9"/>
  <c r="F16" i="9"/>
  <c r="E16" i="9"/>
  <c r="D16" i="9"/>
  <c r="L15" i="9"/>
  <c r="K14" i="9"/>
  <c r="I14" i="9"/>
  <c r="C14" i="9"/>
  <c r="B14" i="9"/>
  <c r="K13" i="9"/>
  <c r="C13" i="9"/>
  <c r="B13" i="9"/>
  <c r="L13" i="9" s="1"/>
  <c r="K12" i="9"/>
  <c r="C12" i="9"/>
  <c r="B12" i="9"/>
  <c r="I11" i="9"/>
  <c r="C11" i="9"/>
  <c r="B11" i="9"/>
  <c r="L11" i="9" s="1"/>
  <c r="C10" i="9"/>
  <c r="B10" i="9"/>
  <c r="L10" i="9" s="1"/>
  <c r="I9" i="9"/>
  <c r="C9" i="9"/>
  <c r="L9" i="9" s="1"/>
  <c r="B9" i="9"/>
  <c r="K8" i="9"/>
  <c r="I8" i="9"/>
  <c r="C8" i="9"/>
  <c r="B8" i="9"/>
  <c r="I7" i="9"/>
  <c r="C7" i="9"/>
  <c r="B7" i="9"/>
  <c r="L7" i="9" s="1"/>
  <c r="K6" i="9"/>
  <c r="I6" i="9"/>
  <c r="C6" i="9"/>
  <c r="B6" i="9"/>
  <c r="L6" i="9" s="1"/>
  <c r="I5" i="9"/>
  <c r="C5" i="9"/>
  <c r="L5" i="9" s="1"/>
  <c r="B5" i="9"/>
  <c r="I4" i="9"/>
  <c r="I16" i="9" s="1"/>
  <c r="C4" i="9"/>
  <c r="B4" i="9"/>
  <c r="B16" i="9" s="1"/>
  <c r="C16" i="9" l="1"/>
  <c r="K16" i="9"/>
  <c r="L8" i="9"/>
  <c r="L12" i="9"/>
  <c r="L14" i="9"/>
  <c r="L4" i="9"/>
  <c r="J14" i="8"/>
  <c r="J13" i="8"/>
  <c r="J12" i="8"/>
  <c r="J3" i="8"/>
  <c r="H15" i="8"/>
  <c r="F15" i="8"/>
  <c r="E15" i="8"/>
  <c r="D15" i="8"/>
  <c r="F21" i="8" s="1"/>
  <c r="J11" i="8"/>
  <c r="J10" i="8"/>
  <c r="J9" i="8"/>
  <c r="J8" i="8"/>
  <c r="J7" i="8"/>
  <c r="J6" i="8"/>
  <c r="J5" i="8"/>
  <c r="J4" i="8"/>
  <c r="G3" i="8"/>
  <c r="G15" i="8" s="1"/>
  <c r="F20" i="8" s="1"/>
  <c r="C3" i="8"/>
  <c r="C15" i="8" s="1"/>
  <c r="B3" i="8"/>
  <c r="B15" i="8" s="1"/>
  <c r="D15" i="7"/>
  <c r="D20" i="7" s="1"/>
  <c r="G14" i="7"/>
  <c r="C14" i="7"/>
  <c r="B14" i="7"/>
  <c r="I14" i="7" s="1"/>
  <c r="H13" i="7"/>
  <c r="G13" i="7"/>
  <c r="C13" i="7"/>
  <c r="B13" i="7"/>
  <c r="I13" i="7" s="1"/>
  <c r="G12" i="7"/>
  <c r="C12" i="7"/>
  <c r="B12" i="7"/>
  <c r="I12" i="7" s="1"/>
  <c r="G11" i="7"/>
  <c r="C11" i="7"/>
  <c r="I11" i="7" s="1"/>
  <c r="B11" i="7"/>
  <c r="C10" i="7"/>
  <c r="B10" i="7"/>
  <c r="I10" i="7" s="1"/>
  <c r="G9" i="7"/>
  <c r="C9" i="7"/>
  <c r="B9" i="7"/>
  <c r="I9" i="7" s="1"/>
  <c r="G8" i="7"/>
  <c r="I8" i="7" s="1"/>
  <c r="G7" i="7"/>
  <c r="I7" i="7" s="1"/>
  <c r="H6" i="7"/>
  <c r="H15" i="7" s="1"/>
  <c r="G6" i="7"/>
  <c r="F6" i="7"/>
  <c r="F15" i="7" s="1"/>
  <c r="E6" i="7"/>
  <c r="E15" i="7" s="1"/>
  <c r="C6" i="7"/>
  <c r="B6" i="7"/>
  <c r="I6" i="7" s="1"/>
  <c r="G5" i="7"/>
  <c r="C5" i="7"/>
  <c r="I5" i="7" s="1"/>
  <c r="B5" i="7"/>
  <c r="G4" i="7"/>
  <c r="C4" i="7"/>
  <c r="I4" i="7" s="1"/>
  <c r="B4" i="7"/>
  <c r="G3" i="7"/>
  <c r="G15" i="7" s="1"/>
  <c r="C3" i="7"/>
  <c r="I3" i="7" s="1"/>
  <c r="B3" i="7"/>
  <c r="B15" i="7" s="1"/>
  <c r="H15" i="5"/>
  <c r="G15" i="5"/>
  <c r="F15" i="5"/>
  <c r="E15" i="5"/>
  <c r="D15" i="5"/>
  <c r="C14" i="5"/>
  <c r="B14" i="5"/>
  <c r="C13" i="5"/>
  <c r="B13" i="5"/>
  <c r="I12" i="5"/>
  <c r="I11" i="5"/>
  <c r="I10" i="5"/>
  <c r="B9" i="5"/>
  <c r="I9" i="5" s="1"/>
  <c r="C8" i="5"/>
  <c r="B8" i="5"/>
  <c r="C7" i="5"/>
  <c r="B7" i="5"/>
  <c r="C6" i="5"/>
  <c r="B6" i="5"/>
  <c r="C5" i="5"/>
  <c r="B5" i="5"/>
  <c r="C4" i="5"/>
  <c r="B4" i="5"/>
  <c r="C3" i="5"/>
  <c r="B3" i="5"/>
  <c r="B15" i="5" s="1"/>
  <c r="I3" i="5" l="1"/>
  <c r="C15" i="5"/>
  <c r="I4" i="5"/>
  <c r="I5" i="5"/>
  <c r="I6" i="5"/>
  <c r="I7" i="5"/>
  <c r="I8" i="5"/>
  <c r="I13" i="5"/>
  <c r="I14" i="5"/>
  <c r="L16" i="9"/>
  <c r="F22" i="8"/>
  <c r="D19" i="7"/>
  <c r="C15" i="7"/>
  <c r="D21" i="7" s="1"/>
  <c r="I15" i="5"/>
  <c r="I15" i="7" l="1"/>
  <c r="I18" i="4" l="1"/>
  <c r="G19" i="4" s="1"/>
  <c r="K8" i="4"/>
  <c r="I9" i="4" s="1"/>
  <c r="B9" i="4" l="1"/>
  <c r="D9" i="4"/>
  <c r="F9" i="4"/>
  <c r="H9" i="4"/>
  <c r="B19" i="4"/>
  <c r="D19" i="4"/>
  <c r="F19" i="4"/>
  <c r="H19" i="4"/>
  <c r="C9" i="4"/>
  <c r="E9" i="4"/>
  <c r="G9" i="4"/>
  <c r="C19" i="4"/>
  <c r="E19" i="4"/>
  <c r="I19" i="4" l="1"/>
  <c r="K9" i="4"/>
  <c r="M15" i="1" l="1"/>
  <c r="L15" i="1"/>
  <c r="K15" i="1"/>
  <c r="J15" i="1"/>
  <c r="I15" i="1"/>
  <c r="H15" i="1"/>
  <c r="G15" i="1"/>
  <c r="F15" i="1"/>
  <c r="E15" i="1"/>
  <c r="D15" i="1"/>
  <c r="C15" i="1"/>
  <c r="B15" i="1"/>
  <c r="C8" i="1" l="1"/>
  <c r="D8" i="1"/>
  <c r="E8" i="1"/>
  <c r="F8" i="1"/>
  <c r="G8" i="1"/>
  <c r="H8" i="1"/>
  <c r="I8" i="1"/>
  <c r="J8" i="1"/>
  <c r="K8" i="1"/>
  <c r="L8" i="1"/>
  <c r="M8" i="1"/>
  <c r="B8" i="1"/>
  <c r="B5" i="2" l="1"/>
  <c r="M3" i="1" l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<sst xmlns="http://schemas.openxmlformats.org/spreadsheetml/2006/main" count="212" uniqueCount="121">
  <si>
    <t>janv</t>
  </si>
  <si>
    <t>fev</t>
  </si>
  <si>
    <t>mars</t>
  </si>
  <si>
    <t>avr</t>
  </si>
  <si>
    <t>mai</t>
  </si>
  <si>
    <t>juin</t>
  </si>
  <si>
    <t>juil</t>
  </si>
  <si>
    <t>aout</t>
  </si>
  <si>
    <t>sept</t>
  </si>
  <si>
    <t>octo</t>
  </si>
  <si>
    <t>nov</t>
  </si>
  <si>
    <t>dec</t>
  </si>
  <si>
    <t>Nbre patient global</t>
  </si>
  <si>
    <t>Nbre patients moyen/HC</t>
  </si>
  <si>
    <t>Nbre patients moyen/HDJ</t>
  </si>
  <si>
    <t>Nombre de lits HC</t>
  </si>
  <si>
    <t>Prieuré</t>
  </si>
  <si>
    <t>Nombre de lits HDJ</t>
  </si>
  <si>
    <t>total</t>
  </si>
  <si>
    <t>ANALYSE DES REPAS CONSOMMES</t>
  </si>
  <si>
    <t>Du:01/01/2022</t>
  </si>
  <si>
    <t>Au:31/12/2022</t>
  </si>
  <si>
    <t>Repas:PETIT-DEJEUNER-COLLATION-DEJEUNER-GOUTER-DINER-</t>
  </si>
  <si>
    <t>Année du repas \ Régime</t>
  </si>
  <si>
    <t>STANDARD</t>
  </si>
  <si>
    <t>HYPERPROTEINE</t>
  </si>
  <si>
    <t>DIABETIQUE</t>
  </si>
  <si>
    <t>PEU SALE</t>
  </si>
  <si>
    <t>PAUVRE EN FIBRE STRICTE</t>
  </si>
  <si>
    <t>PAUVRE EN FIBRE ELARGI</t>
  </si>
  <si>
    <t>PAUVRE EN POTASSIUM</t>
  </si>
  <si>
    <t>DIABETIQUE PAUVRE EN FIBRE ELARGI</t>
  </si>
  <si>
    <t>DIABETIQUE PAUVRE EN FIBRE POTASSIUM</t>
  </si>
  <si>
    <t>Totaux</t>
  </si>
  <si>
    <t>Pourcentage</t>
  </si>
  <si>
    <t>Année du repas \ Texture</t>
  </si>
  <si>
    <t>ENTIERE</t>
  </si>
  <si>
    <t>HACHEE</t>
  </si>
  <si>
    <t>MIXEE</t>
  </si>
  <si>
    <t>SEMI LIQUIDE</t>
  </si>
  <si>
    <t>VIANDE COUPEE</t>
  </si>
  <si>
    <t>VIANDE HACHEE</t>
  </si>
  <si>
    <t>DESSERT MOU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</si>
  <si>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</si>
  <si>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</si>
  <si>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</si>
  <si>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</si>
  <si>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</si>
  <si>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</si>
  <si>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</si>
  <si>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</si>
  <si>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</si>
  <si>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</si>
  <si>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</si>
  <si>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</si>
  <si>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yaourt nature</t>
  </si>
  <si>
    <t>SUPPLEMENTS 2022</t>
  </si>
  <si>
    <t>mois</t>
  </si>
  <si>
    <t>midi</t>
  </si>
  <si>
    <t>soir</t>
  </si>
  <si>
    <t>HDJ</t>
  </si>
  <si>
    <t>gouter</t>
  </si>
  <si>
    <t>petit dej</t>
  </si>
  <si>
    <t>invité + stagiaires ugecam</t>
  </si>
  <si>
    <t>nuit</t>
  </si>
  <si>
    <t>total repas/mois</t>
  </si>
  <si>
    <t>janvier</t>
  </si>
  <si>
    <t>février</t>
  </si>
  <si>
    <t>pt</t>
  </si>
  <si>
    <t>dej</t>
  </si>
  <si>
    <t>gout</t>
  </si>
  <si>
    <t>diner</t>
  </si>
  <si>
    <t>avril</t>
  </si>
  <si>
    <t>juillet</t>
  </si>
  <si>
    <t>août</t>
  </si>
  <si>
    <t>septembre</t>
  </si>
  <si>
    <t>octobre</t>
  </si>
  <si>
    <t>novembre</t>
  </si>
  <si>
    <t>décembre</t>
  </si>
  <si>
    <t>TOTAL JOURNEES PATIENTS</t>
  </si>
  <si>
    <t>salaries</t>
  </si>
  <si>
    <t>hdj</t>
  </si>
  <si>
    <t>hc</t>
  </si>
  <si>
    <t>VEILLEURS/ nuit</t>
  </si>
  <si>
    <t>REPAS FESTIF</t>
  </si>
  <si>
    <t>COVID/ CHIFFRES PEU SIGNIFICATIF/ HDJ FERMEE EN 03/21</t>
  </si>
  <si>
    <t>PTI DEJ HDJ</t>
  </si>
  <si>
    <t>PERSONNEL HDJ</t>
  </si>
  <si>
    <t>FESTIF/formation/autres</t>
  </si>
  <si>
    <t>HYPERPROTEINES</t>
  </si>
  <si>
    <t>2019-2021</t>
  </si>
  <si>
    <t>confitures individuelles</t>
  </si>
  <si>
    <t>jus de fruits</t>
  </si>
  <si>
    <t>biscuit emballe</t>
  </si>
  <si>
    <t>cafe deca</t>
  </si>
  <si>
    <t>sucres buchettes</t>
  </si>
  <si>
    <t>chocolat poudre</t>
  </si>
  <si>
    <t>lait 1/2 ecreme stick</t>
  </si>
  <si>
    <t>pain baguette</t>
  </si>
  <si>
    <t>biscottes</t>
  </si>
  <si>
    <t>ketchup stick</t>
  </si>
  <si>
    <t>micro beurre</t>
  </si>
  <si>
    <t>compote fruits</t>
  </si>
  <si>
    <t>fromage portion emballe</t>
  </si>
  <si>
    <t>fromage blanc fromage 20%</t>
  </si>
  <si>
    <t>aspartame</t>
  </si>
  <si>
    <t>the sachet</t>
  </si>
  <si>
    <t>boite serviette papier</t>
  </si>
  <si>
    <t>pause café/thé simple</t>
  </si>
  <si>
    <t>mayonnaise stick</t>
  </si>
  <si>
    <t>pain baguette s/sel</t>
  </si>
  <si>
    <t>sauce salade stick</t>
  </si>
  <si>
    <t>potage</t>
  </si>
  <si>
    <t>moutarde stick</t>
  </si>
  <si>
    <t>purée pruneau</t>
  </si>
  <si>
    <t>eau de source</t>
  </si>
  <si>
    <t>pruneaux coupelle</t>
  </si>
  <si>
    <t>hepar /pack</t>
  </si>
  <si>
    <t>vichy/ pack</t>
  </si>
  <si>
    <t>perrier/pack</t>
  </si>
  <si>
    <t>pain de mie/paquet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</si>
</sst>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Fill="1" applyBorder="1"/>
    <xf numFmtId="0" fontId="2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38" fontId="4" fillId="4" borderId="1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>
      <alignment horizontal="center" vertical="center"/>
    </xf>
    <xf numFmtId="38" fontId="4" fillId="2" borderId="1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 vertical="center"/>
    </xf>
    <xf numFmtId="164" fontId="5" fillId="2" borderId="14" xfId="1" applyNumberFormat="1" applyFont="1" applyFill="1" applyBorder="1" applyAlignment="1">
      <alignment horizontal="center" vertical="center"/>
    </xf>
    <xf numFmtId="164" fontId="5" fillId="2" borderId="16" xfId="1" applyNumberFormat="1" applyFont="1" applyFill="1" applyBorder="1" applyAlignment="1">
      <alignment horizontal="center" vertical="center"/>
    </xf>
    <xf numFmtId="164" fontId="5" fillId="2" borderId="17" xfId="1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38" fontId="5" fillId="2" borderId="13" xfId="1" applyNumberFormat="1" applyFont="1" applyFill="1" applyBorder="1" applyAlignment="1">
      <alignment horizontal="right"/>
    </xf>
    <xf numFmtId="38" fontId="5" fillId="2" borderId="15" xfId="1" applyNumberFormat="1" applyFont="1" applyFill="1" applyBorder="1" applyAlignment="1">
      <alignment horizontal="right"/>
    </xf>
    <xf numFmtId="0" fontId="0" fillId="0" borderId="13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164" fontId="2" fillId="0" borderId="0" xfId="1" applyNumberFormat="1" applyFont="1"/>
    <xf numFmtId="164" fontId="0" fillId="0" borderId="11" xfId="1" applyNumberFormat="1" applyFont="1" applyBorder="1" applyAlignment="1">
      <alignment horizontal="center"/>
    </xf>
    <xf numFmtId="164" fontId="0" fillId="0" borderId="1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14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0" borderId="14" xfId="1" applyNumberFormat="1" applyFont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164" fontId="0" fillId="0" borderId="17" xfId="1" applyNumberFormat="1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164" fontId="0" fillId="0" borderId="0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6" xfId="1" applyNumberFormat="1" applyFont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6" fillId="5" borderId="0" xfId="0" applyFont="1" applyFill="1"/>
    <xf numFmtId="0" fontId="6" fillId="6" borderId="0" xfId="0" applyFont="1" applyFill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7" fillId="7" borderId="3" xfId="0" applyFont="1" applyFill="1" applyBorder="1" applyAlignment="1">
      <alignment horizontal="center"/>
    </xf>
    <xf numFmtId="0" fontId="0" fillId="0" borderId="3" xfId="0" applyBorder="1"/>
    <xf numFmtId="3" fontId="0" fillId="0" borderId="3" xfId="0" applyNumberFormat="1" applyBorder="1"/>
    <xf numFmtId="0" fontId="0" fillId="0" borderId="3" xfId="0" applyFill="1" applyBorder="1"/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28" xfId="0" applyFill="1" applyBorder="1"/>
    <xf numFmtId="0" fontId="0" fillId="0" borderId="29" xfId="0" applyBorder="1"/>
    <xf numFmtId="0" fontId="3" fillId="0" borderId="3" xfId="0" applyFont="1" applyBorder="1"/>
    <xf numFmtId="0" fontId="8" fillId="0" borderId="3" xfId="0" applyFont="1" applyBorder="1" applyAlignment="1">
      <alignment wrapText="1"/>
    </xf>
    <xf numFmtId="3" fontId="8" fillId="0" borderId="3" xfId="0" applyNumberFormat="1" applyFont="1" applyBorder="1"/>
    <xf numFmtId="3" fontId="0" fillId="0" borderId="29" xfId="0" applyNumberFormat="1" applyBorder="1"/>
    <xf numFmtId="3" fontId="0" fillId="0" borderId="0" xfId="0" applyNumberFormat="1"/>
    <xf numFmtId="0" fontId="8" fillId="0" borderId="27" xfId="0" applyFont="1" applyBorder="1" applyAlignment="1">
      <alignment horizontal="center" vertical="center"/>
    </xf>
    <xf numFmtId="0" fontId="0" fillId="8" borderId="3" xfId="0" applyFill="1" applyBorder="1"/>
    <xf numFmtId="0" fontId="0" fillId="2" borderId="3" xfId="0" applyFill="1" applyBorder="1"/>
    <xf numFmtId="0" fontId="0" fillId="8" borderId="28" xfId="0" applyFill="1" applyBorder="1"/>
    <xf numFmtId="0" fontId="0" fillId="8" borderId="29" xfId="0" applyFill="1" applyBorder="1"/>
    <xf numFmtId="0" fontId="3" fillId="8" borderId="3" xfId="0" applyFont="1" applyFill="1" applyBorder="1"/>
    <xf numFmtId="3" fontId="8" fillId="0" borderId="29" xfId="0" applyNumberFormat="1" applyFont="1" applyBorder="1"/>
    <xf numFmtId="164" fontId="0" fillId="0" borderId="25" xfId="1" applyNumberFormat="1" applyFont="1" applyBorder="1" applyAlignment="1"/>
    <xf numFmtId="0" fontId="0" fillId="3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3" fontId="0" fillId="3" borderId="29" xfId="0" applyNumberFormat="1" applyFill="1" applyBorder="1" applyAlignment="1">
      <alignment horizontal="center"/>
    </xf>
    <xf numFmtId="43" fontId="0" fillId="0" borderId="0" xfId="0" applyNumberFormat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0" fillId="4" borderId="0" xfId="0" applyFill="1"/>
    <xf numFmtId="0" fontId="2" fillId="4" borderId="0" xfId="0" applyFont="1" applyFill="1"/>
    <xf numFmtId="0" fontId="0" fillId="0" borderId="1" xfId="0" applyBorder="1" applyAlignment="1">
      <alignment horizontal="center"/>
    </xf>
    <xf numFmtId="9" fontId="0" fillId="0" borderId="0" xfId="0" applyNumberFormat="1"/>
    <xf numFmtId="0" fontId="0" fillId="3" borderId="3" xfId="0" applyFill="1" applyBorder="1"/>
    <xf numFmtId="3" fontId="0" fillId="0" borderId="3" xfId="0" applyNumberFormat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7" fillId="7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RowHeight="15" x14ac:dyDescent="0.25"/>
  <cols>
    <col min="1" max="1" width="19.7109375" customWidth="1"/>
  </cols>
  <sheetData>
    <row r="1" spans="1:2" x14ac:dyDescent="0.25">
      <c r="A1" s="1" t="s">
        <v>15</v>
      </c>
      <c r="B1" s="2"/>
    </row>
    <row r="2" spans="1:2" x14ac:dyDescent="0.25">
      <c r="A2" s="3"/>
      <c r="B2" s="4">
        <v>96</v>
      </c>
    </row>
    <row r="3" spans="1:2" x14ac:dyDescent="0.25">
      <c r="A3" s="3" t="s">
        <v>17</v>
      </c>
      <c r="B3" s="4"/>
    </row>
    <row r="4" spans="1:2" x14ac:dyDescent="0.25">
      <c r="A4" s="5" t="s">
        <v>16</v>
      </c>
      <c r="B4" s="6">
        <v>10</v>
      </c>
    </row>
    <row r="5" spans="1:2" x14ac:dyDescent="0.25">
      <c r="A5" s="7" t="s">
        <v>18</v>
      </c>
      <c r="B5" s="8">
        <f>SUM(B2:B4)</f>
        <v>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F14" sqref="F14"/>
    </sheetView>
  </sheetViews>
  <sheetFormatPr baseColWidth="10" defaultRowHeight="15" x14ac:dyDescent="0.25"/>
  <cols>
    <col min="1" max="1" width="32" style="21" customWidth="1"/>
    <col min="2" max="13" width="11.42578125" style="36"/>
    <col min="14" max="14" width="11.42578125" style="37"/>
    <col min="15" max="16384" width="11.42578125" style="22"/>
  </cols>
  <sheetData>
    <row r="1" spans="1:14" x14ac:dyDescent="0.25"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</row>
    <row r="2" spans="1:14" x14ac:dyDescent="0.25">
      <c r="A2" s="23">
        <v>2022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1:14" s="8" customFormat="1" x14ac:dyDescent="0.25">
      <c r="A3" s="26" t="s">
        <v>12</v>
      </c>
      <c r="B3" s="24">
        <f>B4+B5</f>
        <v>82.44</v>
      </c>
      <c r="C3" s="24">
        <f t="shared" ref="C3:M3" si="0">C4+C5</f>
        <v>89.18</v>
      </c>
      <c r="D3" s="24">
        <f t="shared" si="0"/>
        <v>83.96</v>
      </c>
      <c r="E3" s="24">
        <f t="shared" si="0"/>
        <v>77.8</v>
      </c>
      <c r="F3" s="24">
        <f t="shared" si="0"/>
        <v>87.93</v>
      </c>
      <c r="G3" s="24">
        <f t="shared" si="0"/>
        <v>90.04</v>
      </c>
      <c r="H3" s="24">
        <f t="shared" si="0"/>
        <v>85.52</v>
      </c>
      <c r="I3" s="24">
        <f t="shared" si="0"/>
        <v>87.36</v>
      </c>
      <c r="J3" s="24">
        <f t="shared" si="0"/>
        <v>94.009999999999991</v>
      </c>
      <c r="K3" s="24">
        <f t="shared" si="0"/>
        <v>95.320000000000007</v>
      </c>
      <c r="L3" s="24">
        <f t="shared" si="0"/>
        <v>96.14</v>
      </c>
      <c r="M3" s="25">
        <f t="shared" si="0"/>
        <v>82.62</v>
      </c>
      <c r="N3" s="38"/>
    </row>
    <row r="4" spans="1:14" x14ac:dyDescent="0.25">
      <c r="A4" s="32" t="s">
        <v>13</v>
      </c>
      <c r="B4" s="27">
        <v>76.739999999999995</v>
      </c>
      <c r="C4" s="27">
        <v>82.39</v>
      </c>
      <c r="D4" s="27">
        <v>77.61</v>
      </c>
      <c r="E4" s="27">
        <v>71.3</v>
      </c>
      <c r="F4" s="27">
        <v>83.03</v>
      </c>
      <c r="G4" s="27">
        <v>83.9</v>
      </c>
      <c r="H4" s="27">
        <v>79.77</v>
      </c>
      <c r="I4" s="27">
        <v>81.77</v>
      </c>
      <c r="J4" s="27">
        <v>87.6</v>
      </c>
      <c r="K4" s="27">
        <v>89.65</v>
      </c>
      <c r="L4" s="27">
        <v>89.67</v>
      </c>
      <c r="M4" s="28">
        <v>76.03</v>
      </c>
    </row>
    <row r="5" spans="1:14" ht="15.75" thickBot="1" x14ac:dyDescent="0.3">
      <c r="A5" s="33" t="s">
        <v>14</v>
      </c>
      <c r="B5" s="29">
        <v>5.7</v>
      </c>
      <c r="C5" s="29">
        <v>6.79</v>
      </c>
      <c r="D5" s="29">
        <v>6.35</v>
      </c>
      <c r="E5" s="29">
        <v>6.5</v>
      </c>
      <c r="F5" s="29">
        <v>4.9000000000000004</v>
      </c>
      <c r="G5" s="29">
        <v>6.14</v>
      </c>
      <c r="H5" s="29">
        <v>5.75</v>
      </c>
      <c r="I5" s="29">
        <v>5.59</v>
      </c>
      <c r="J5" s="29">
        <v>6.41</v>
      </c>
      <c r="K5" s="29">
        <v>5.67</v>
      </c>
      <c r="L5" s="29">
        <v>6.47</v>
      </c>
      <c r="M5" s="30">
        <v>6.59</v>
      </c>
    </row>
    <row r="6" spans="1:14" ht="15.75" thickBot="1" x14ac:dyDescent="0.3"/>
    <row r="7" spans="1:14" x14ac:dyDescent="0.25">
      <c r="A7" s="31">
        <v>2021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40"/>
    </row>
    <row r="8" spans="1:14" s="8" customFormat="1" x14ac:dyDescent="0.25">
      <c r="A8" s="20" t="s">
        <v>12</v>
      </c>
      <c r="B8" s="41">
        <f>B9+B10</f>
        <v>56.37</v>
      </c>
      <c r="C8" s="41">
        <f t="shared" ref="C8:M8" si="1">C9+C10</f>
        <v>58.11</v>
      </c>
      <c r="D8" s="41">
        <f t="shared" si="1"/>
        <v>51.48</v>
      </c>
      <c r="E8" s="41">
        <f t="shared" si="1"/>
        <v>63.88</v>
      </c>
      <c r="F8" s="41">
        <f t="shared" si="1"/>
        <v>72.899999999999991</v>
      </c>
      <c r="G8" s="41">
        <f t="shared" si="1"/>
        <v>85.050000000000011</v>
      </c>
      <c r="H8" s="41">
        <f t="shared" si="1"/>
        <v>83.94</v>
      </c>
      <c r="I8" s="41">
        <f t="shared" si="1"/>
        <v>58.56</v>
      </c>
      <c r="J8" s="41">
        <f t="shared" si="1"/>
        <v>82.490000000000009</v>
      </c>
      <c r="K8" s="41">
        <f t="shared" si="1"/>
        <v>84.66</v>
      </c>
      <c r="L8" s="41">
        <f t="shared" si="1"/>
        <v>84.54</v>
      </c>
      <c r="M8" s="42">
        <f t="shared" si="1"/>
        <v>80.849999999999994</v>
      </c>
      <c r="N8" s="38"/>
    </row>
    <row r="9" spans="1:14" x14ac:dyDescent="0.25">
      <c r="A9" s="34" t="s">
        <v>13</v>
      </c>
      <c r="B9" s="43">
        <v>50.55</v>
      </c>
      <c r="C9" s="43">
        <v>54.21</v>
      </c>
      <c r="D9" s="43">
        <v>47.26</v>
      </c>
      <c r="E9" s="43">
        <v>58.93</v>
      </c>
      <c r="F9" s="43">
        <v>67.489999999999995</v>
      </c>
      <c r="G9" s="43">
        <v>78.87</v>
      </c>
      <c r="H9" s="43">
        <v>79.099999999999994</v>
      </c>
      <c r="I9" s="43">
        <v>53.29</v>
      </c>
      <c r="J9" s="43">
        <v>76.400000000000006</v>
      </c>
      <c r="K9" s="43">
        <v>79.23</v>
      </c>
      <c r="L9" s="43">
        <v>79.17</v>
      </c>
      <c r="M9" s="44">
        <v>76.13</v>
      </c>
    </row>
    <row r="10" spans="1:14" ht="15.75" thickBot="1" x14ac:dyDescent="0.3">
      <c r="A10" s="35" t="s">
        <v>14</v>
      </c>
      <c r="B10" s="45">
        <v>5.82</v>
      </c>
      <c r="C10" s="45">
        <v>3.9</v>
      </c>
      <c r="D10" s="45">
        <v>4.22</v>
      </c>
      <c r="E10" s="45">
        <v>4.95</v>
      </c>
      <c r="F10" s="45">
        <v>5.41</v>
      </c>
      <c r="G10" s="45">
        <v>6.18</v>
      </c>
      <c r="H10" s="45">
        <v>4.84</v>
      </c>
      <c r="I10" s="45">
        <v>5.27</v>
      </c>
      <c r="J10" s="45">
        <v>6.09</v>
      </c>
      <c r="K10" s="45">
        <v>5.43</v>
      </c>
      <c r="L10" s="45">
        <v>5.37</v>
      </c>
      <c r="M10" s="46">
        <v>4.72</v>
      </c>
    </row>
    <row r="11" spans="1:14" ht="15.75" thickBot="1" x14ac:dyDescent="0.3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4" ht="15.75" thickBot="1" x14ac:dyDescent="0.3">
      <c r="A12" s="51">
        <v>2020</v>
      </c>
      <c r="B12" s="79" t="s">
        <v>85</v>
      </c>
      <c r="C12" s="79"/>
      <c r="D12" s="79"/>
      <c r="E12" s="49"/>
      <c r="F12" s="49"/>
      <c r="G12" s="49"/>
      <c r="H12" s="49"/>
      <c r="I12" s="49"/>
      <c r="J12" s="49"/>
      <c r="K12" s="49"/>
      <c r="L12" s="49"/>
      <c r="M12" s="50"/>
    </row>
    <row r="13" spans="1:14" ht="15.75" thickBot="1" x14ac:dyDescent="0.3"/>
    <row r="14" spans="1:14" x14ac:dyDescent="0.25">
      <c r="A14" s="31">
        <v>2019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/>
    </row>
    <row r="15" spans="1:14" x14ac:dyDescent="0.25">
      <c r="A15" s="20" t="s">
        <v>12</v>
      </c>
      <c r="B15" s="41">
        <f>B16+B17</f>
        <v>96.259999999999991</v>
      </c>
      <c r="C15" s="41">
        <f t="shared" ref="C15" si="2">C16+C17</f>
        <v>98.47</v>
      </c>
      <c r="D15" s="41">
        <f t="shared" ref="D15" si="3">D16+D17</f>
        <v>98.58</v>
      </c>
      <c r="E15" s="41">
        <f t="shared" ref="E15" si="4">E16+E17</f>
        <v>98.039999999999992</v>
      </c>
      <c r="F15" s="41">
        <f t="shared" ref="F15" si="5">F16+F17</f>
        <v>97.64</v>
      </c>
      <c r="G15" s="41">
        <f t="shared" ref="G15" si="6">G16+G17</f>
        <v>94.47</v>
      </c>
      <c r="H15" s="41">
        <f t="shared" ref="H15" si="7">H16+H17</f>
        <v>96.94</v>
      </c>
      <c r="I15" s="41">
        <f t="shared" ref="I15" si="8">I16+I17</f>
        <v>103.32</v>
      </c>
      <c r="J15" s="41">
        <f t="shared" ref="J15" si="9">J16+J17</f>
        <v>102.56</v>
      </c>
      <c r="K15" s="41">
        <f t="shared" ref="K15" si="10">K16+K17</f>
        <v>98.47999999999999</v>
      </c>
      <c r="L15" s="41">
        <f t="shared" ref="L15" si="11">L16+L17</f>
        <v>95.61</v>
      </c>
      <c r="M15" s="42">
        <f t="shared" ref="M15" si="12">M16+M17</f>
        <v>97.03</v>
      </c>
    </row>
    <row r="16" spans="1:14" x14ac:dyDescent="0.25">
      <c r="A16" s="34" t="s">
        <v>13</v>
      </c>
      <c r="B16" s="43">
        <v>89.259999999999991</v>
      </c>
      <c r="C16" s="43">
        <v>91.47</v>
      </c>
      <c r="D16" s="43">
        <v>89.58</v>
      </c>
      <c r="E16" s="43">
        <v>88.039999999999992</v>
      </c>
      <c r="F16" s="43">
        <v>90.64</v>
      </c>
      <c r="G16" s="43">
        <v>86.47</v>
      </c>
      <c r="H16" s="43">
        <v>86.94</v>
      </c>
      <c r="I16" s="43">
        <v>92.32</v>
      </c>
      <c r="J16" s="43">
        <v>91.56</v>
      </c>
      <c r="K16" s="43">
        <v>88.47999999999999</v>
      </c>
      <c r="L16" s="43">
        <v>86.61</v>
      </c>
      <c r="M16" s="44">
        <v>87.03</v>
      </c>
    </row>
    <row r="17" spans="1:13" ht="15.75" thickBot="1" x14ac:dyDescent="0.3">
      <c r="A17" s="35" t="s">
        <v>14</v>
      </c>
      <c r="B17" s="45">
        <v>7</v>
      </c>
      <c r="C17" s="45">
        <v>7</v>
      </c>
      <c r="D17" s="45">
        <v>9</v>
      </c>
      <c r="E17" s="45">
        <v>10</v>
      </c>
      <c r="F17" s="45">
        <v>7</v>
      </c>
      <c r="G17" s="45">
        <v>8</v>
      </c>
      <c r="H17" s="45">
        <v>10</v>
      </c>
      <c r="I17" s="45">
        <v>11</v>
      </c>
      <c r="J17" s="45">
        <v>11</v>
      </c>
      <c r="K17" s="45">
        <v>10</v>
      </c>
      <c r="L17" s="45">
        <v>9</v>
      </c>
      <c r="M17" s="46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opLeftCell="A3" workbookViewId="0">
      <selection activeCell="F22" sqref="F22"/>
    </sheetView>
  </sheetViews>
  <sheetFormatPr baseColWidth="10" defaultRowHeight="15" x14ac:dyDescent="0.25"/>
  <cols>
    <col min="1" max="5" width="11.42578125" style="9"/>
    <col min="6" max="6" width="14.85546875" style="9" customWidth="1"/>
    <col min="7" max="10" width="11.42578125" style="9"/>
    <col min="11" max="11" width="26" style="9" customWidth="1"/>
    <col min="12" max="16384" width="11.42578125" style="9"/>
  </cols>
  <sheetData>
    <row r="2" spans="1:12" x14ac:dyDescent="0.25">
      <c r="A2" s="10">
        <v>2022</v>
      </c>
    </row>
    <row r="3" spans="1:12" ht="38.25" x14ac:dyDescent="0.25">
      <c r="A3" s="61" t="s">
        <v>57</v>
      </c>
      <c r="B3" s="62" t="s">
        <v>58</v>
      </c>
      <c r="C3" s="62" t="s">
        <v>59</v>
      </c>
      <c r="D3" s="62" t="s">
        <v>60</v>
      </c>
      <c r="E3" s="63" t="s">
        <v>86</v>
      </c>
      <c r="F3" s="63" t="s">
        <v>87</v>
      </c>
      <c r="G3" s="62" t="s">
        <v>61</v>
      </c>
      <c r="H3" s="62" t="s">
        <v>62</v>
      </c>
      <c r="I3" s="63" t="s">
        <v>63</v>
      </c>
      <c r="J3" s="63" t="s">
        <v>83</v>
      </c>
      <c r="K3" s="64" t="s">
        <v>88</v>
      </c>
      <c r="L3" s="64" t="s">
        <v>65</v>
      </c>
    </row>
    <row r="4" spans="1:12" x14ac:dyDescent="0.25">
      <c r="A4" s="19" t="s">
        <v>66</v>
      </c>
      <c r="B4" s="19">
        <f>453+2019</f>
        <v>2472</v>
      </c>
      <c r="C4" s="19">
        <f>384+2040</f>
        <v>2424</v>
      </c>
      <c r="D4" s="19">
        <v>156</v>
      </c>
      <c r="E4" s="19">
        <v>312</v>
      </c>
      <c r="F4" s="19">
        <v>42</v>
      </c>
      <c r="G4" s="19">
        <v>2131</v>
      </c>
      <c r="H4" s="19">
        <v>2394</v>
      </c>
      <c r="I4" s="19">
        <f>84</f>
        <v>84</v>
      </c>
      <c r="J4" s="19">
        <v>186</v>
      </c>
      <c r="K4" s="19">
        <v>25</v>
      </c>
      <c r="L4" s="19">
        <f>SUM(B4:K4)</f>
        <v>10226</v>
      </c>
    </row>
    <row r="5" spans="1:12" x14ac:dyDescent="0.25">
      <c r="A5" s="19" t="s">
        <v>67</v>
      </c>
      <c r="B5" s="81">
        <f>588+1948</f>
        <v>2536</v>
      </c>
      <c r="C5" s="81">
        <f>413+1942</f>
        <v>2355</v>
      </c>
      <c r="D5" s="81">
        <v>174</v>
      </c>
      <c r="E5" s="81">
        <v>20</v>
      </c>
      <c r="F5" s="81">
        <v>40</v>
      </c>
      <c r="G5" s="81">
        <v>2116</v>
      </c>
      <c r="H5" s="81">
        <v>2301</v>
      </c>
      <c r="I5" s="81">
        <f>11+101+1</f>
        <v>113</v>
      </c>
      <c r="J5" s="81">
        <v>168</v>
      </c>
      <c r="K5" s="81">
        <v>30</v>
      </c>
      <c r="L5" s="19">
        <f t="shared" ref="L5:L15" si="0">SUM(B5:J5)</f>
        <v>9823</v>
      </c>
    </row>
    <row r="6" spans="1:12" x14ac:dyDescent="0.25">
      <c r="A6" s="19" t="s">
        <v>2</v>
      </c>
      <c r="B6" s="81">
        <f>295+1948</f>
        <v>2243</v>
      </c>
      <c r="C6" s="81">
        <f>512+1959</f>
        <v>2471</v>
      </c>
      <c r="D6" s="81">
        <v>142</v>
      </c>
      <c r="E6" s="81">
        <v>71</v>
      </c>
      <c r="F6" s="81">
        <v>18</v>
      </c>
      <c r="G6" s="81">
        <v>2291</v>
      </c>
      <c r="H6" s="81">
        <v>2431</v>
      </c>
      <c r="I6" s="83">
        <f>28+91</f>
        <v>119</v>
      </c>
      <c r="J6" s="81">
        <v>186</v>
      </c>
      <c r="K6" s="81">
        <f>49+20</f>
        <v>69</v>
      </c>
      <c r="L6" s="19">
        <f t="shared" si="0"/>
        <v>9972</v>
      </c>
    </row>
    <row r="7" spans="1:12" x14ac:dyDescent="0.25">
      <c r="A7" s="19" t="s">
        <v>72</v>
      </c>
      <c r="B7" s="81">
        <f>1352+1774</f>
        <v>3126</v>
      </c>
      <c r="C7" s="81">
        <f>541+912+1047</f>
        <v>2500</v>
      </c>
      <c r="D7" s="81">
        <v>55</v>
      </c>
      <c r="E7" s="81">
        <v>0</v>
      </c>
      <c r="F7" s="81">
        <v>0</v>
      </c>
      <c r="G7" s="81">
        <v>2165</v>
      </c>
      <c r="H7" s="81">
        <v>2293</v>
      </c>
      <c r="I7" s="81">
        <f>55+1+7</f>
        <v>63</v>
      </c>
      <c r="J7" s="81">
        <v>180</v>
      </c>
      <c r="K7" s="81">
        <v>0</v>
      </c>
      <c r="L7" s="19">
        <f>SUM(B7:K7)</f>
        <v>10382</v>
      </c>
    </row>
    <row r="8" spans="1:12" x14ac:dyDescent="0.25">
      <c r="A8" s="19" t="s">
        <v>4</v>
      </c>
      <c r="B8" s="81">
        <f>693+1863</f>
        <v>2556</v>
      </c>
      <c r="C8" s="81">
        <f>601+654+1435</f>
        <v>2690</v>
      </c>
      <c r="D8" s="81">
        <v>24</v>
      </c>
      <c r="E8" s="81">
        <v>126</v>
      </c>
      <c r="F8" s="81">
        <v>21</v>
      </c>
      <c r="G8" s="81">
        <v>2442</v>
      </c>
      <c r="H8" s="81">
        <v>2424</v>
      </c>
      <c r="I8" s="81">
        <f>75+8+2</f>
        <v>85</v>
      </c>
      <c r="J8" s="81">
        <v>186</v>
      </c>
      <c r="K8" s="81">
        <f>10+21</f>
        <v>31</v>
      </c>
      <c r="L8" s="19">
        <f t="shared" si="0"/>
        <v>10554</v>
      </c>
    </row>
    <row r="9" spans="1:12" x14ac:dyDescent="0.25">
      <c r="A9" s="19" t="s">
        <v>5</v>
      </c>
      <c r="B9" s="81">
        <f>613+2051</f>
        <v>2664</v>
      </c>
      <c r="C9" s="81">
        <f>535+597+1377</f>
        <v>2509</v>
      </c>
      <c r="D9" s="81">
        <v>61</v>
      </c>
      <c r="E9" s="81">
        <v>120</v>
      </c>
      <c r="F9" s="81">
        <v>21</v>
      </c>
      <c r="G9" s="81">
        <v>2442</v>
      </c>
      <c r="H9" s="81">
        <v>2527</v>
      </c>
      <c r="I9" s="81">
        <f>50+10+18+46</f>
        <v>124</v>
      </c>
      <c r="J9" s="81">
        <v>174</v>
      </c>
      <c r="K9" s="81">
        <v>0</v>
      </c>
      <c r="L9" s="19">
        <f>SUM(B9:K9)</f>
        <v>10642</v>
      </c>
    </row>
    <row r="10" spans="1:12" x14ac:dyDescent="0.25">
      <c r="A10" s="19" t="s">
        <v>73</v>
      </c>
      <c r="B10" s="81">
        <f>789+1866</f>
        <v>2655</v>
      </c>
      <c r="C10" s="81">
        <f>1826+713</f>
        <v>2539</v>
      </c>
      <c r="D10" s="83">
        <v>28</v>
      </c>
      <c r="E10" s="83">
        <v>0</v>
      </c>
      <c r="F10" s="83">
        <v>0</v>
      </c>
      <c r="G10" s="81">
        <v>2157</v>
      </c>
      <c r="H10" s="83">
        <v>2490</v>
      </c>
      <c r="I10" s="81">
        <v>18</v>
      </c>
      <c r="J10" s="81">
        <v>186</v>
      </c>
      <c r="K10" s="81">
        <v>0</v>
      </c>
      <c r="L10" s="19">
        <f>SUM(B10:K10)</f>
        <v>10073</v>
      </c>
    </row>
    <row r="11" spans="1:12" x14ac:dyDescent="0.25">
      <c r="A11" s="19" t="s">
        <v>74</v>
      </c>
      <c r="B11" s="81">
        <f>795+1883</f>
        <v>2678</v>
      </c>
      <c r="C11" s="81">
        <f>644+1828</f>
        <v>2472</v>
      </c>
      <c r="D11" s="81">
        <v>134</v>
      </c>
      <c r="E11" s="83">
        <v>0</v>
      </c>
      <c r="F11" s="81">
        <v>31</v>
      </c>
      <c r="G11" s="81">
        <v>2310</v>
      </c>
      <c r="H11" s="84">
        <v>2424</v>
      </c>
      <c r="I11" s="84">
        <f>3+4</f>
        <v>7</v>
      </c>
      <c r="J11" s="81">
        <v>186</v>
      </c>
      <c r="K11" s="81">
        <v>0</v>
      </c>
      <c r="L11" s="19">
        <f>SUM(B11:K11)</f>
        <v>10242</v>
      </c>
    </row>
    <row r="12" spans="1:12" x14ac:dyDescent="0.25">
      <c r="A12" s="19" t="s">
        <v>75</v>
      </c>
      <c r="B12" s="85">
        <f>598+2091</f>
        <v>2689</v>
      </c>
      <c r="C12" s="84">
        <f>2128+562</f>
        <v>2690</v>
      </c>
      <c r="D12" s="83">
        <v>138</v>
      </c>
      <c r="E12" s="86">
        <v>0</v>
      </c>
      <c r="F12" s="86">
        <v>30</v>
      </c>
      <c r="G12" s="85">
        <v>2435</v>
      </c>
      <c r="H12" s="81">
        <v>2618</v>
      </c>
      <c r="I12" s="81">
        <v>40</v>
      </c>
      <c r="J12" s="83">
        <v>186</v>
      </c>
      <c r="K12" s="81">
        <f>1+62+2</f>
        <v>65</v>
      </c>
      <c r="L12" s="19">
        <f>SUM(B12:K12)</f>
        <v>10891</v>
      </c>
    </row>
    <row r="13" spans="1:12" x14ac:dyDescent="0.25">
      <c r="A13" s="19" t="s">
        <v>76</v>
      </c>
      <c r="B13" s="87">
        <f>904+2062</f>
        <v>2966</v>
      </c>
      <c r="C13" s="81">
        <f>745+2069</f>
        <v>2814</v>
      </c>
      <c r="D13" s="81">
        <v>125</v>
      </c>
      <c r="E13" s="81">
        <v>0</v>
      </c>
      <c r="F13" s="81">
        <v>0</v>
      </c>
      <c r="G13" s="81">
        <v>2537</v>
      </c>
      <c r="H13" s="81">
        <v>2751</v>
      </c>
      <c r="I13" s="81">
        <v>86</v>
      </c>
      <c r="J13" s="81">
        <v>248</v>
      </c>
      <c r="K13" s="81">
        <f>14+14</f>
        <v>28</v>
      </c>
      <c r="L13" s="19">
        <f t="shared" si="0"/>
        <v>11527</v>
      </c>
    </row>
    <row r="14" spans="1:12" x14ac:dyDescent="0.25">
      <c r="A14" s="19" t="s">
        <v>77</v>
      </c>
      <c r="B14" s="81">
        <f>670+2056</f>
        <v>2726</v>
      </c>
      <c r="C14" s="81">
        <f>654+2066</f>
        <v>2720</v>
      </c>
      <c r="D14" s="81">
        <v>135</v>
      </c>
      <c r="E14" s="81">
        <v>0</v>
      </c>
      <c r="F14" s="81">
        <v>26</v>
      </c>
      <c r="G14" s="81">
        <v>2483</v>
      </c>
      <c r="H14" s="81">
        <v>2669</v>
      </c>
      <c r="I14" s="81">
        <f>80+7</f>
        <v>87</v>
      </c>
      <c r="J14" s="81">
        <v>240</v>
      </c>
      <c r="K14" s="81">
        <f>17+23+10+10</f>
        <v>60</v>
      </c>
      <c r="L14" s="19">
        <f t="shared" si="0"/>
        <v>11086</v>
      </c>
    </row>
    <row r="15" spans="1:12" x14ac:dyDescent="0.25">
      <c r="A15" s="19" t="s">
        <v>78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19">
        <f t="shared" si="0"/>
        <v>0</v>
      </c>
    </row>
    <row r="16" spans="1:12" ht="39" x14ac:dyDescent="0.25">
      <c r="A16" s="88" t="s">
        <v>79</v>
      </c>
      <c r="B16" s="82">
        <f t="shared" ref="B16:K16" si="1">SUM(B4:B15)</f>
        <v>29311</v>
      </c>
      <c r="C16" s="82">
        <f t="shared" si="1"/>
        <v>28184</v>
      </c>
      <c r="D16" s="82">
        <f t="shared" si="1"/>
        <v>1172</v>
      </c>
      <c r="E16" s="82">
        <f t="shared" si="1"/>
        <v>649</v>
      </c>
      <c r="F16" s="82">
        <f t="shared" si="1"/>
        <v>229</v>
      </c>
      <c r="G16" s="82">
        <f t="shared" si="1"/>
        <v>25509</v>
      </c>
      <c r="H16" s="82">
        <f t="shared" si="1"/>
        <v>27322</v>
      </c>
      <c r="I16" s="82">
        <f t="shared" si="1"/>
        <v>826</v>
      </c>
      <c r="J16" s="82">
        <f t="shared" si="1"/>
        <v>2126</v>
      </c>
      <c r="K16" s="82">
        <f t="shared" si="1"/>
        <v>308</v>
      </c>
      <c r="L16" s="89">
        <f>SUM(L4:L15)</f>
        <v>115418</v>
      </c>
    </row>
    <row r="18" spans="5:7" x14ac:dyDescent="0.25">
      <c r="G18" s="90"/>
    </row>
    <row r="19" spans="5:7" ht="15.75" thickBot="1" x14ac:dyDescent="0.3">
      <c r="G19" s="90"/>
    </row>
    <row r="20" spans="5:7" x14ac:dyDescent="0.25">
      <c r="E20" s="80">
        <v>2022</v>
      </c>
      <c r="F20" s="12"/>
    </row>
    <row r="21" spans="5:7" x14ac:dyDescent="0.25">
      <c r="E21" s="13" t="s">
        <v>80</v>
      </c>
      <c r="F21" s="91">
        <f>I16+J16+K16</f>
        <v>3260</v>
      </c>
    </row>
    <row r="22" spans="5:7" x14ac:dyDescent="0.25">
      <c r="E22" s="13" t="s">
        <v>81</v>
      </c>
      <c r="F22" s="91">
        <f>D16</f>
        <v>1172</v>
      </c>
    </row>
    <row r="23" spans="5:7" ht="15.75" thickBot="1" x14ac:dyDescent="0.3">
      <c r="E23" s="16" t="s">
        <v>82</v>
      </c>
      <c r="F23" s="92">
        <f>B16+C16</f>
        <v>57495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E19" sqref="E19"/>
    </sheetView>
  </sheetViews>
  <sheetFormatPr baseColWidth="10" defaultRowHeight="15" x14ac:dyDescent="0.25"/>
  <cols>
    <col min="9" max="9" width="18" customWidth="1"/>
  </cols>
  <sheetData>
    <row r="1" spans="1:10" x14ac:dyDescent="0.25">
      <c r="A1" s="93">
        <v>2021</v>
      </c>
    </row>
    <row r="2" spans="1:10" ht="38.25" x14ac:dyDescent="0.25">
      <c r="A2" s="61" t="s">
        <v>57</v>
      </c>
      <c r="B2" s="62" t="s">
        <v>58</v>
      </c>
      <c r="C2" s="62" t="s">
        <v>59</v>
      </c>
      <c r="D2" s="62" t="s">
        <v>60</v>
      </c>
      <c r="E2" s="62" t="s">
        <v>61</v>
      </c>
      <c r="F2" s="62" t="s">
        <v>62</v>
      </c>
      <c r="G2" s="63" t="s">
        <v>63</v>
      </c>
      <c r="H2" s="63" t="s">
        <v>83</v>
      </c>
      <c r="I2" s="72" t="s">
        <v>84</v>
      </c>
      <c r="J2" s="64" t="s">
        <v>65</v>
      </c>
    </row>
    <row r="3" spans="1:10" x14ac:dyDescent="0.25">
      <c r="A3" s="58" t="s">
        <v>66</v>
      </c>
      <c r="B3" s="58">
        <f>390+1221+57</f>
        <v>1668</v>
      </c>
      <c r="C3" s="58">
        <f>269+1290</f>
        <v>1559</v>
      </c>
      <c r="D3" s="58">
        <v>100</v>
      </c>
      <c r="E3" s="58">
        <v>1341</v>
      </c>
      <c r="F3" s="58">
        <v>1539</v>
      </c>
      <c r="G3" s="58">
        <f>29+37+16</f>
        <v>82</v>
      </c>
      <c r="H3" s="58">
        <v>217</v>
      </c>
      <c r="I3" s="58">
        <v>0</v>
      </c>
      <c r="J3" s="58">
        <f>SUM(B3:I3)</f>
        <v>6506</v>
      </c>
    </row>
    <row r="4" spans="1:10" x14ac:dyDescent="0.25">
      <c r="A4" s="58" t="s">
        <v>67</v>
      </c>
      <c r="B4" s="73">
        <v>1605</v>
      </c>
      <c r="C4" s="73">
        <v>1502</v>
      </c>
      <c r="D4" s="73">
        <v>189</v>
      </c>
      <c r="E4" s="73">
        <v>1305</v>
      </c>
      <c r="F4" s="73">
        <v>1628</v>
      </c>
      <c r="G4" s="73">
        <v>58</v>
      </c>
      <c r="H4" s="73">
        <v>66</v>
      </c>
      <c r="I4" s="58">
        <v>0</v>
      </c>
      <c r="J4" s="58">
        <f t="shared" ref="J4:J10" si="0">SUM(B4:H4)</f>
        <v>6353</v>
      </c>
    </row>
    <row r="5" spans="1:10" x14ac:dyDescent="0.25">
      <c r="A5" s="58" t="s">
        <v>2</v>
      </c>
      <c r="B5" s="73">
        <v>1465</v>
      </c>
      <c r="C5" s="73">
        <v>1465</v>
      </c>
      <c r="D5" s="73">
        <v>41</v>
      </c>
      <c r="E5" s="73">
        <v>1260</v>
      </c>
      <c r="F5" s="73">
        <v>1465</v>
      </c>
      <c r="G5" s="74">
        <v>159</v>
      </c>
      <c r="H5" s="73">
        <v>217</v>
      </c>
      <c r="I5" s="58">
        <v>0</v>
      </c>
      <c r="J5" s="58">
        <f t="shared" si="0"/>
        <v>6072</v>
      </c>
    </row>
    <row r="6" spans="1:10" x14ac:dyDescent="0.25">
      <c r="A6" s="58" t="s">
        <v>72</v>
      </c>
      <c r="B6" s="73">
        <v>1768</v>
      </c>
      <c r="C6" s="73">
        <v>1768</v>
      </c>
      <c r="D6" s="73">
        <v>93</v>
      </c>
      <c r="E6" s="73">
        <v>1585</v>
      </c>
      <c r="F6" s="73">
        <v>1768</v>
      </c>
      <c r="G6" s="73">
        <v>74</v>
      </c>
      <c r="H6" s="73">
        <v>206</v>
      </c>
      <c r="I6" s="58">
        <v>0</v>
      </c>
      <c r="J6" s="58">
        <f t="shared" si="0"/>
        <v>7262</v>
      </c>
    </row>
    <row r="7" spans="1:10" x14ac:dyDescent="0.25">
      <c r="A7" s="58" t="s">
        <v>4</v>
      </c>
      <c r="B7" s="73">
        <v>2083</v>
      </c>
      <c r="C7" s="73">
        <v>2083</v>
      </c>
      <c r="D7" s="73">
        <v>114</v>
      </c>
      <c r="E7" s="73">
        <v>1865</v>
      </c>
      <c r="F7" s="73">
        <v>2083</v>
      </c>
      <c r="G7" s="73">
        <v>135</v>
      </c>
      <c r="H7" s="73">
        <v>217</v>
      </c>
      <c r="I7" s="58">
        <v>0</v>
      </c>
      <c r="J7" s="58">
        <f t="shared" si="0"/>
        <v>8580</v>
      </c>
    </row>
    <row r="8" spans="1:10" x14ac:dyDescent="0.25">
      <c r="A8" s="58" t="s">
        <v>5</v>
      </c>
      <c r="B8" s="73">
        <v>2366</v>
      </c>
      <c r="C8" s="73">
        <v>2366</v>
      </c>
      <c r="D8" s="73">
        <v>96</v>
      </c>
      <c r="E8" s="73">
        <v>2041</v>
      </c>
      <c r="F8" s="73">
        <v>2357</v>
      </c>
      <c r="G8" s="73">
        <v>219</v>
      </c>
      <c r="H8" s="73">
        <v>210</v>
      </c>
      <c r="I8" s="58">
        <v>0</v>
      </c>
      <c r="J8" s="58">
        <f t="shared" si="0"/>
        <v>9655</v>
      </c>
    </row>
    <row r="9" spans="1:10" x14ac:dyDescent="0.25">
      <c r="A9" s="58" t="s">
        <v>73</v>
      </c>
      <c r="B9" s="73">
        <v>2452</v>
      </c>
      <c r="C9" s="73">
        <v>2452</v>
      </c>
      <c r="D9" s="74">
        <v>119</v>
      </c>
      <c r="E9" s="73">
        <v>2148</v>
      </c>
      <c r="F9" s="74">
        <v>2420</v>
      </c>
      <c r="G9" s="73">
        <v>40</v>
      </c>
      <c r="H9" s="73">
        <v>217</v>
      </c>
      <c r="I9" s="58">
        <v>0</v>
      </c>
      <c r="J9" s="58">
        <f t="shared" si="0"/>
        <v>9848</v>
      </c>
    </row>
    <row r="10" spans="1:10" x14ac:dyDescent="0.25">
      <c r="A10" s="58" t="s">
        <v>74</v>
      </c>
      <c r="B10" s="73">
        <v>2569</v>
      </c>
      <c r="C10" s="73">
        <v>2569</v>
      </c>
      <c r="D10" s="73">
        <v>123</v>
      </c>
      <c r="E10" s="73">
        <v>2305</v>
      </c>
      <c r="F10" s="75">
        <v>2557</v>
      </c>
      <c r="G10" s="75">
        <v>10</v>
      </c>
      <c r="H10" s="73">
        <v>217</v>
      </c>
      <c r="I10" s="58">
        <v>0</v>
      </c>
      <c r="J10" s="58">
        <f t="shared" si="0"/>
        <v>10350</v>
      </c>
    </row>
    <row r="11" spans="1:10" x14ac:dyDescent="0.25">
      <c r="A11" s="58" t="s">
        <v>75</v>
      </c>
      <c r="B11" s="76">
        <v>2313</v>
      </c>
      <c r="C11" s="75">
        <v>2263</v>
      </c>
      <c r="D11" s="74">
        <v>139</v>
      </c>
      <c r="E11" s="76">
        <v>1953</v>
      </c>
      <c r="F11" s="73">
        <v>2284</v>
      </c>
      <c r="G11" s="73">
        <v>38</v>
      </c>
      <c r="H11" s="74">
        <v>210</v>
      </c>
      <c r="I11" s="73">
        <v>76</v>
      </c>
      <c r="J11" s="58">
        <f>SUM(B11:I11)</f>
        <v>9276</v>
      </c>
    </row>
    <row r="12" spans="1:10" x14ac:dyDescent="0.25">
      <c r="A12" s="58" t="s">
        <v>76</v>
      </c>
      <c r="B12" s="77">
        <v>2456</v>
      </c>
      <c r="C12" s="73">
        <v>2456</v>
      </c>
      <c r="D12" s="73">
        <v>129</v>
      </c>
      <c r="E12" s="73">
        <v>2175</v>
      </c>
      <c r="F12" s="73">
        <v>2457</v>
      </c>
      <c r="G12" s="73">
        <v>76</v>
      </c>
      <c r="H12" s="73">
        <v>217</v>
      </c>
      <c r="I12" s="73">
        <v>0</v>
      </c>
      <c r="J12" s="58">
        <f>SUM(B12:I12)</f>
        <v>9966</v>
      </c>
    </row>
    <row r="13" spans="1:10" x14ac:dyDescent="0.25">
      <c r="A13" s="58" t="s">
        <v>77</v>
      </c>
      <c r="B13" s="73">
        <v>2356</v>
      </c>
      <c r="C13" s="73">
        <v>2356</v>
      </c>
      <c r="D13" s="73">
        <v>221</v>
      </c>
      <c r="E13" s="73">
        <v>2118</v>
      </c>
      <c r="F13" s="73">
        <v>2372</v>
      </c>
      <c r="G13" s="73">
        <v>61</v>
      </c>
      <c r="H13" s="73">
        <v>210</v>
      </c>
      <c r="I13" s="73">
        <v>0</v>
      </c>
      <c r="J13" s="58">
        <f>SUM(B13:I13)</f>
        <v>9694</v>
      </c>
    </row>
    <row r="14" spans="1:10" x14ac:dyDescent="0.25">
      <c r="A14" s="58" t="s">
        <v>78</v>
      </c>
      <c r="B14" s="73">
        <v>2497</v>
      </c>
      <c r="C14" s="73">
        <v>2490</v>
      </c>
      <c r="D14" s="73">
        <v>192</v>
      </c>
      <c r="E14" s="73">
        <v>2179</v>
      </c>
      <c r="F14" s="73">
        <v>2584</v>
      </c>
      <c r="G14" s="73">
        <v>64</v>
      </c>
      <c r="H14" s="73">
        <v>196</v>
      </c>
      <c r="I14" s="73">
        <v>0</v>
      </c>
      <c r="J14" s="58">
        <f>SUM(B14:I14)</f>
        <v>10202</v>
      </c>
    </row>
    <row r="15" spans="1:10" ht="39" x14ac:dyDescent="0.25">
      <c r="A15" s="68" t="s">
        <v>79</v>
      </c>
      <c r="B15" s="69">
        <f>SUM(B3:B14)</f>
        <v>25598</v>
      </c>
      <c r="C15" s="69">
        <f t="shared" ref="C15:H15" si="1">SUM(C3:C14)</f>
        <v>25329</v>
      </c>
      <c r="D15" s="69">
        <f>SUM(D3:D14)</f>
        <v>1556</v>
      </c>
      <c r="E15" s="69">
        <f t="shared" si="1"/>
        <v>22275</v>
      </c>
      <c r="F15" s="69">
        <f t="shared" si="1"/>
        <v>25514</v>
      </c>
      <c r="G15" s="69">
        <f t="shared" si="1"/>
        <v>1016</v>
      </c>
      <c r="H15" s="69">
        <f t="shared" si="1"/>
        <v>2400</v>
      </c>
      <c r="I15" s="78">
        <v>0</v>
      </c>
      <c r="J15" s="70">
        <f>SUM(B15:H15)</f>
        <v>103688</v>
      </c>
    </row>
    <row r="17" spans="4:7" x14ac:dyDescent="0.25">
      <c r="D17" s="71"/>
    </row>
    <row r="18" spans="4:7" x14ac:dyDescent="0.25">
      <c r="F18" s="71"/>
    </row>
    <row r="19" spans="4:7" x14ac:dyDescent="0.25">
      <c r="E19" s="97">
        <v>2021</v>
      </c>
      <c r="F19" s="58"/>
    </row>
    <row r="20" spans="4:7" x14ac:dyDescent="0.25">
      <c r="E20" s="58" t="s">
        <v>80</v>
      </c>
      <c r="F20" s="59">
        <f>G15+H15</f>
        <v>3416</v>
      </c>
    </row>
    <row r="21" spans="4:7" x14ac:dyDescent="0.25">
      <c r="E21" s="58" t="s">
        <v>81</v>
      </c>
      <c r="F21" s="59">
        <f>D15</f>
        <v>1556</v>
      </c>
    </row>
    <row r="22" spans="4:7" x14ac:dyDescent="0.25">
      <c r="E22" s="59" t="s">
        <v>82</v>
      </c>
      <c r="F22" s="59">
        <f>B15+C15</f>
        <v>50927</v>
      </c>
      <c r="G22" s="7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B15" sqref="B15:C15"/>
    </sheetView>
  </sheetViews>
  <sheetFormatPr baseColWidth="10" defaultRowHeight="15" x14ac:dyDescent="0.25"/>
  <sheetData>
    <row r="1" spans="1:9" x14ac:dyDescent="0.25">
      <c r="A1" s="93">
        <v>2020</v>
      </c>
    </row>
    <row r="2" spans="1:9" ht="38.25" x14ac:dyDescent="0.25">
      <c r="A2" s="61" t="s">
        <v>57</v>
      </c>
      <c r="B2" s="62" t="s">
        <v>58</v>
      </c>
      <c r="C2" s="62" t="s">
        <v>59</v>
      </c>
      <c r="D2" s="62" t="s">
        <v>60</v>
      </c>
      <c r="E2" s="62" t="s">
        <v>61</v>
      </c>
      <c r="F2" s="62" t="s">
        <v>62</v>
      </c>
      <c r="G2" s="63" t="s">
        <v>63</v>
      </c>
      <c r="H2" s="62" t="s">
        <v>64</v>
      </c>
      <c r="I2" s="64" t="s">
        <v>65</v>
      </c>
    </row>
    <row r="3" spans="1:9" x14ac:dyDescent="0.25">
      <c r="A3" s="58" t="s">
        <v>66</v>
      </c>
      <c r="B3" s="58">
        <f>680+2106+91</f>
        <v>2877</v>
      </c>
      <c r="C3" s="58">
        <f>2275+472</f>
        <v>2747</v>
      </c>
      <c r="D3" s="58">
        <v>226</v>
      </c>
      <c r="E3" s="58">
        <v>2543</v>
      </c>
      <c r="F3" s="58">
        <v>2746</v>
      </c>
      <c r="G3" s="58">
        <f>16+44</f>
        <v>60</v>
      </c>
      <c r="H3" s="58">
        <v>217</v>
      </c>
      <c r="I3" s="58">
        <f>SUM(B3:H3)</f>
        <v>11416</v>
      </c>
    </row>
    <row r="4" spans="1:9" x14ac:dyDescent="0.25">
      <c r="A4" s="58" t="s">
        <v>67</v>
      </c>
      <c r="B4" s="58">
        <f>808+2012+62</f>
        <v>2882</v>
      </c>
      <c r="C4" s="58">
        <f>2061+599</f>
        <v>2660</v>
      </c>
      <c r="D4" s="58">
        <v>216</v>
      </c>
      <c r="E4" s="58">
        <v>2513</v>
      </c>
      <c r="F4" s="58">
        <v>2673</v>
      </c>
      <c r="G4" s="58">
        <f>40+29</f>
        <v>69</v>
      </c>
      <c r="H4" s="58">
        <v>203</v>
      </c>
      <c r="I4" s="58">
        <f t="shared" ref="I4:I14" si="0">SUM(B4:H4)</f>
        <v>11216</v>
      </c>
    </row>
    <row r="5" spans="1:9" x14ac:dyDescent="0.25">
      <c r="A5" s="58" t="s">
        <v>2</v>
      </c>
      <c r="B5" s="58">
        <f>878+1969+68</f>
        <v>2915</v>
      </c>
      <c r="C5" s="58">
        <f>2034+677</f>
        <v>2711</v>
      </c>
      <c r="D5" s="58">
        <v>86</v>
      </c>
      <c r="E5" s="58">
        <v>2581</v>
      </c>
      <c r="F5" s="58">
        <v>2715</v>
      </c>
      <c r="G5" s="58">
        <f>217+30</f>
        <v>247</v>
      </c>
      <c r="H5" s="58">
        <v>217</v>
      </c>
      <c r="I5" s="58">
        <f t="shared" si="0"/>
        <v>11472</v>
      </c>
    </row>
    <row r="6" spans="1:9" x14ac:dyDescent="0.25">
      <c r="A6" s="58" t="s">
        <v>72</v>
      </c>
      <c r="B6" s="58">
        <f>259+1291+18+362</f>
        <v>1930</v>
      </c>
      <c r="C6" s="58">
        <f>1315+246+387</f>
        <v>1948</v>
      </c>
      <c r="D6" s="58">
        <v>34</v>
      </c>
      <c r="E6" s="58">
        <f>1342+376</f>
        <v>1718</v>
      </c>
      <c r="F6" s="58">
        <f>1546+387</f>
        <v>1933</v>
      </c>
      <c r="G6" s="58">
        <f>16+6+40+28+40</f>
        <v>130</v>
      </c>
      <c r="H6" s="58">
        <f>161+49</f>
        <v>210</v>
      </c>
      <c r="I6" s="58">
        <f t="shared" si="0"/>
        <v>7903</v>
      </c>
    </row>
    <row r="7" spans="1:9" x14ac:dyDescent="0.25">
      <c r="A7" s="58" t="s">
        <v>4</v>
      </c>
      <c r="B7" s="58">
        <v>1750</v>
      </c>
      <c r="C7" s="58">
        <v>1750</v>
      </c>
      <c r="D7" s="58">
        <v>0</v>
      </c>
      <c r="E7" s="58">
        <v>1750</v>
      </c>
      <c r="F7" s="58">
        <v>1750</v>
      </c>
      <c r="G7" s="58">
        <f>147+38</f>
        <v>185</v>
      </c>
      <c r="H7" s="58">
        <v>217</v>
      </c>
      <c r="I7" s="58">
        <f t="shared" si="0"/>
        <v>7402</v>
      </c>
    </row>
    <row r="8" spans="1:9" x14ac:dyDescent="0.25">
      <c r="A8" s="58" t="s">
        <v>5</v>
      </c>
      <c r="B8" s="58">
        <v>1721</v>
      </c>
      <c r="C8" s="58">
        <v>1724</v>
      </c>
      <c r="D8" s="58">
        <v>0</v>
      </c>
      <c r="E8" s="58">
        <v>1574</v>
      </c>
      <c r="F8" s="58">
        <v>1717</v>
      </c>
      <c r="G8" s="58">
        <f>16+42+5+3</f>
        <v>66</v>
      </c>
      <c r="H8" s="58">
        <v>210</v>
      </c>
      <c r="I8" s="58">
        <f t="shared" si="0"/>
        <v>7012</v>
      </c>
    </row>
    <row r="9" spans="1:9" x14ac:dyDescent="0.25">
      <c r="A9" s="58" t="s">
        <v>73</v>
      </c>
      <c r="B9" s="58">
        <f>489+1385+42</f>
        <v>1916</v>
      </c>
      <c r="C9" s="58">
        <f>425+1434</f>
        <v>1859</v>
      </c>
      <c r="D9" s="58">
        <v>0</v>
      </c>
      <c r="E9" s="58">
        <v>1708</v>
      </c>
      <c r="F9" s="58">
        <v>1874</v>
      </c>
      <c r="G9" s="58">
        <f>62+2</f>
        <v>64</v>
      </c>
      <c r="H9" s="58">
        <v>217</v>
      </c>
      <c r="I9" s="58">
        <f t="shared" si="0"/>
        <v>7638</v>
      </c>
    </row>
    <row r="10" spans="1:9" x14ac:dyDescent="0.25">
      <c r="A10" s="58" t="s">
        <v>74</v>
      </c>
      <c r="B10" s="60">
        <f>483+1439+51</f>
        <v>1973</v>
      </c>
      <c r="C10" s="60">
        <f>423+1499</f>
        <v>1922</v>
      </c>
      <c r="D10" s="65">
        <v>0</v>
      </c>
      <c r="E10" s="60">
        <v>1597</v>
      </c>
      <c r="F10" s="65">
        <v>1922</v>
      </c>
      <c r="G10" s="65">
        <v>25</v>
      </c>
      <c r="H10" s="58">
        <v>217</v>
      </c>
      <c r="I10" s="58">
        <f t="shared" si="0"/>
        <v>7656</v>
      </c>
    </row>
    <row r="11" spans="1:9" x14ac:dyDescent="0.25">
      <c r="A11" s="58" t="s">
        <v>75</v>
      </c>
      <c r="B11" s="66">
        <f>630+1567+72</f>
        <v>2269</v>
      </c>
      <c r="C11" s="65">
        <f>551+1644</f>
        <v>2195</v>
      </c>
      <c r="D11" s="66">
        <v>94</v>
      </c>
      <c r="E11" s="66">
        <v>1856</v>
      </c>
      <c r="F11" s="58">
        <v>2181</v>
      </c>
      <c r="G11" s="58">
        <f>29+44</f>
        <v>73</v>
      </c>
      <c r="H11" s="58">
        <v>210</v>
      </c>
      <c r="I11" s="58">
        <f t="shared" si="0"/>
        <v>8878</v>
      </c>
    </row>
    <row r="12" spans="1:9" x14ac:dyDescent="0.25">
      <c r="A12" s="58" t="s">
        <v>76</v>
      </c>
      <c r="B12" s="67">
        <f>746+1818</f>
        <v>2564</v>
      </c>
      <c r="C12" s="58">
        <f>674+1911</f>
        <v>2585</v>
      </c>
      <c r="D12" s="58">
        <v>128</v>
      </c>
      <c r="E12" s="58">
        <v>2127</v>
      </c>
      <c r="F12" s="58">
        <v>2536</v>
      </c>
      <c r="G12" s="58">
        <f>74+44</f>
        <v>118</v>
      </c>
      <c r="H12" s="58">
        <v>217</v>
      </c>
      <c r="I12" s="58">
        <f t="shared" si="0"/>
        <v>10275</v>
      </c>
    </row>
    <row r="13" spans="1:9" x14ac:dyDescent="0.25">
      <c r="A13" s="58" t="s">
        <v>77</v>
      </c>
      <c r="B13" s="58">
        <f>501+1716+40</f>
        <v>2257</v>
      </c>
      <c r="C13" s="58">
        <f>418+1781</f>
        <v>2199</v>
      </c>
      <c r="D13" s="58">
        <v>76</v>
      </c>
      <c r="E13" s="58">
        <v>1943</v>
      </c>
      <c r="F13" s="58">
        <v>2244</v>
      </c>
      <c r="G13" s="58">
        <f>51+37+30</f>
        <v>118</v>
      </c>
      <c r="H13" s="58">
        <f>14+210</f>
        <v>224</v>
      </c>
      <c r="I13" s="58">
        <f t="shared" si="0"/>
        <v>9061</v>
      </c>
    </row>
    <row r="14" spans="1:9" x14ac:dyDescent="0.25">
      <c r="A14" s="58" t="s">
        <v>78</v>
      </c>
      <c r="B14" s="58">
        <f>195+994+13</f>
        <v>1202</v>
      </c>
      <c r="C14" s="58">
        <f>166+1031</f>
        <v>1197</v>
      </c>
      <c r="D14" s="58">
        <v>0</v>
      </c>
      <c r="E14" s="58">
        <v>1084</v>
      </c>
      <c r="F14" s="58">
        <v>1230</v>
      </c>
      <c r="G14" s="58">
        <f>28+35+123+15</f>
        <v>201</v>
      </c>
      <c r="H14" s="58">
        <v>217</v>
      </c>
      <c r="I14" s="58">
        <f t="shared" si="0"/>
        <v>5131</v>
      </c>
    </row>
    <row r="15" spans="1:9" ht="39" x14ac:dyDescent="0.25">
      <c r="A15" s="68" t="s">
        <v>79</v>
      </c>
      <c r="B15" s="69">
        <f>SUM(B3:B14)</f>
        <v>26256</v>
      </c>
      <c r="C15" s="69">
        <f t="shared" ref="C15:H15" si="1">SUM(C3:C14)</f>
        <v>25497</v>
      </c>
      <c r="D15" s="69">
        <f>SUM(D3:D14)</f>
        <v>860</v>
      </c>
      <c r="E15" s="69">
        <f t="shared" si="1"/>
        <v>22994</v>
      </c>
      <c r="F15" s="69">
        <f t="shared" si="1"/>
        <v>25521</v>
      </c>
      <c r="G15" s="69">
        <f t="shared" si="1"/>
        <v>1356</v>
      </c>
      <c r="H15" s="69">
        <f t="shared" si="1"/>
        <v>2576</v>
      </c>
      <c r="I15" s="70">
        <f>SUM(B15:H15)</f>
        <v>105060</v>
      </c>
    </row>
    <row r="18" spans="3:7" x14ac:dyDescent="0.25">
      <c r="C18" s="97">
        <v>2020</v>
      </c>
      <c r="D18" s="58"/>
      <c r="G18" s="71"/>
    </row>
    <row r="19" spans="3:7" x14ac:dyDescent="0.25">
      <c r="C19" s="58" t="s">
        <v>80</v>
      </c>
      <c r="D19" s="59">
        <f>H15+G15</f>
        <v>3932</v>
      </c>
      <c r="G19" s="71"/>
    </row>
    <row r="20" spans="3:7" x14ac:dyDescent="0.25">
      <c r="C20" s="58" t="s">
        <v>81</v>
      </c>
      <c r="D20" s="59">
        <f>D15</f>
        <v>860</v>
      </c>
      <c r="G20" s="71"/>
    </row>
    <row r="21" spans="3:7" x14ac:dyDescent="0.25">
      <c r="C21" s="58" t="s">
        <v>82</v>
      </c>
      <c r="D21" s="59">
        <f>B15+C15</f>
        <v>51753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H1" workbookViewId="0">
      <selection activeCell="N2" sqref="N2:N33"/>
    </sheetView>
  </sheetViews>
  <sheetFormatPr baseColWidth="10" defaultRowHeight="15" x14ac:dyDescent="0.25"/>
  <cols>
    <col min="1" max="1" width="30.140625" style="104" customWidth="1"/>
    <col min="2" max="16384" width="11.42578125" style="9"/>
  </cols>
  <sheetData>
    <row r="1" spans="1:14" x14ac:dyDescent="0.25">
      <c r="A1" s="100" t="s">
        <v>56</v>
      </c>
      <c r="B1" s="57" t="s">
        <v>43</v>
      </c>
      <c r="C1" s="57" t="s">
        <v>44</v>
      </c>
      <c r="D1" s="57" t="s">
        <v>45</v>
      </c>
      <c r="E1" s="57" t="s">
        <v>46</v>
      </c>
      <c r="F1" s="57" t="s">
        <v>47</v>
      </c>
      <c r="G1" s="57" t="s">
        <v>48</v>
      </c>
      <c r="H1" s="57" t="s">
        <v>49</v>
      </c>
      <c r="I1" s="57" t="s">
        <v>50</v>
      </c>
      <c r="J1" s="57" t="s">
        <v>51</v>
      </c>
      <c r="K1" s="57" t="s">
        <v>52</v>
      </c>
      <c r="L1" s="57" t="s">
        <v>53</v>
      </c>
      <c r="M1" s="57" t="s">
        <v>54</v>
      </c>
      <c r="N1" s="57" t="s">
        <v>18</v>
      </c>
    </row>
    <row r="2" spans="1:14" x14ac:dyDescent="0.25">
      <c r="A2" s="102" t="s">
        <v>105</v>
      </c>
      <c r="B2" s="98">
        <v>0</v>
      </c>
      <c r="C2" s="98">
        <v>0</v>
      </c>
      <c r="D2" s="98">
        <v>28</v>
      </c>
      <c r="E2" s="98">
        <v>11</v>
      </c>
      <c r="F2" s="98">
        <v>8</v>
      </c>
      <c r="G2" s="98">
        <v>0</v>
      </c>
      <c r="H2" s="98">
        <v>0</v>
      </c>
      <c r="I2" s="98">
        <v>0</v>
      </c>
      <c r="J2" s="98">
        <v>17</v>
      </c>
      <c r="K2" s="98">
        <v>3</v>
      </c>
      <c r="L2" s="19">
        <v>0</v>
      </c>
      <c r="M2" s="19">
        <v>13</v>
      </c>
      <c r="N2" s="98">
        <f>SUM(B2:M2)</f>
        <v>80</v>
      </c>
    </row>
    <row r="3" spans="1:14" x14ac:dyDescent="0.25">
      <c r="A3" s="101" t="s">
        <v>99</v>
      </c>
      <c r="B3" s="98">
        <v>31</v>
      </c>
      <c r="C3" s="98">
        <v>28</v>
      </c>
      <c r="D3" s="98">
        <v>51</v>
      </c>
      <c r="E3" s="98">
        <v>22</v>
      </c>
      <c r="F3" s="98">
        <v>0</v>
      </c>
      <c r="G3" s="98">
        <v>142</v>
      </c>
      <c r="H3" s="98">
        <v>25</v>
      </c>
      <c r="I3" s="98">
        <v>25</v>
      </c>
      <c r="J3" s="98">
        <v>123</v>
      </c>
      <c r="K3" s="98">
        <v>0</v>
      </c>
      <c r="L3" s="19">
        <v>8</v>
      </c>
      <c r="M3" s="19">
        <v>94</v>
      </c>
      <c r="N3" s="98">
        <f>SUM(B3:M3)</f>
        <v>549</v>
      </c>
    </row>
    <row r="4" spans="1:14" x14ac:dyDescent="0.25">
      <c r="A4" s="101" t="s">
        <v>93</v>
      </c>
      <c r="B4" s="98">
        <v>31</v>
      </c>
      <c r="C4" s="98">
        <v>59</v>
      </c>
      <c r="D4" s="98">
        <v>31</v>
      </c>
      <c r="E4" s="98">
        <v>0</v>
      </c>
      <c r="F4" s="98">
        <f>8+27+127</f>
        <v>162</v>
      </c>
      <c r="G4" s="98">
        <v>0</v>
      </c>
      <c r="H4" s="98">
        <v>0</v>
      </c>
      <c r="I4" s="98">
        <v>0</v>
      </c>
      <c r="J4" s="98">
        <v>0</v>
      </c>
      <c r="K4" s="98">
        <f>36+22</f>
        <v>58</v>
      </c>
      <c r="L4" s="19">
        <f>7+10</f>
        <v>17</v>
      </c>
      <c r="M4" s="19">
        <f>8+19</f>
        <v>27</v>
      </c>
      <c r="N4" s="98">
        <f>SUM(B4:M4)</f>
        <v>385</v>
      </c>
    </row>
    <row r="5" spans="1:14" x14ac:dyDescent="0.25">
      <c r="A5" s="102" t="s">
        <v>107</v>
      </c>
      <c r="B5" s="98">
        <v>0</v>
      </c>
      <c r="C5" s="98">
        <v>0</v>
      </c>
      <c r="D5" s="98">
        <v>0</v>
      </c>
      <c r="E5" s="98">
        <v>0</v>
      </c>
      <c r="F5" s="98">
        <v>0</v>
      </c>
      <c r="G5" s="98">
        <v>0</v>
      </c>
      <c r="H5" s="98">
        <v>0</v>
      </c>
      <c r="I5" s="98">
        <v>0</v>
      </c>
      <c r="J5" s="98">
        <v>10</v>
      </c>
      <c r="K5" s="98">
        <v>21</v>
      </c>
      <c r="L5" s="19">
        <v>0</v>
      </c>
      <c r="M5" s="19">
        <v>17</v>
      </c>
      <c r="N5" s="98">
        <f>SUM(B5:M5)</f>
        <v>48</v>
      </c>
    </row>
    <row r="6" spans="1:14" x14ac:dyDescent="0.25">
      <c r="A6" s="101" t="s">
        <v>94</v>
      </c>
      <c r="B6" s="98">
        <v>0</v>
      </c>
      <c r="C6" s="98">
        <v>0</v>
      </c>
      <c r="D6" s="98">
        <v>0</v>
      </c>
      <c r="E6" s="98">
        <v>0</v>
      </c>
      <c r="F6" s="98">
        <v>17</v>
      </c>
      <c r="G6" s="98">
        <v>0</v>
      </c>
      <c r="H6" s="98">
        <v>0</v>
      </c>
      <c r="I6" s="98">
        <v>0</v>
      </c>
      <c r="J6" s="98">
        <v>30</v>
      </c>
      <c r="K6" s="98">
        <v>15</v>
      </c>
      <c r="L6" s="19">
        <v>21</v>
      </c>
      <c r="M6" s="19">
        <v>19</v>
      </c>
      <c r="N6" s="98">
        <f>SUM(B6:M6)</f>
        <v>102</v>
      </c>
    </row>
    <row r="7" spans="1:14" x14ac:dyDescent="0.25">
      <c r="A7" s="101" t="s">
        <v>96</v>
      </c>
      <c r="B7" s="98">
        <v>0</v>
      </c>
      <c r="C7" s="98">
        <v>0</v>
      </c>
      <c r="D7" s="98">
        <v>0</v>
      </c>
      <c r="E7" s="98">
        <v>0</v>
      </c>
      <c r="F7" s="98">
        <v>30</v>
      </c>
      <c r="G7" s="98">
        <v>80</v>
      </c>
      <c r="H7" s="98">
        <v>0</v>
      </c>
      <c r="I7" s="98">
        <v>0</v>
      </c>
      <c r="J7" s="98">
        <f>10+27</f>
        <v>37</v>
      </c>
      <c r="K7" s="98">
        <v>15</v>
      </c>
      <c r="L7" s="19">
        <v>2</v>
      </c>
      <c r="M7" s="19">
        <v>4</v>
      </c>
      <c r="N7" s="98">
        <f>SUM(B7:M7)</f>
        <v>168</v>
      </c>
    </row>
    <row r="8" spans="1:14" x14ac:dyDescent="0.25">
      <c r="A8" s="101" t="s">
        <v>102</v>
      </c>
      <c r="B8" s="98">
        <v>56</v>
      </c>
      <c r="C8" s="98">
        <v>32</v>
      </c>
      <c r="D8" s="98">
        <v>39</v>
      </c>
      <c r="E8" s="98">
        <v>31</v>
      </c>
      <c r="F8" s="98">
        <f>25+23</f>
        <v>48</v>
      </c>
      <c r="G8" s="98">
        <v>7</v>
      </c>
      <c r="H8" s="98">
        <v>76</v>
      </c>
      <c r="I8" s="98">
        <v>76</v>
      </c>
      <c r="J8" s="98">
        <v>10</v>
      </c>
      <c r="K8" s="98">
        <f>25+52</f>
        <v>77</v>
      </c>
      <c r="L8" s="19">
        <f>62+10</f>
        <v>72</v>
      </c>
      <c r="M8" s="19">
        <f>9+13</f>
        <v>22</v>
      </c>
      <c r="N8" s="98">
        <f>SUM(B8:M8)</f>
        <v>546</v>
      </c>
    </row>
    <row r="9" spans="1:14" x14ac:dyDescent="0.25">
      <c r="A9" s="101" t="s">
        <v>102</v>
      </c>
      <c r="B9" s="98">
        <v>0</v>
      </c>
      <c r="C9" s="98">
        <v>0</v>
      </c>
      <c r="D9" s="98">
        <v>0</v>
      </c>
      <c r="E9" s="98">
        <v>0</v>
      </c>
      <c r="F9" s="98">
        <v>0</v>
      </c>
      <c r="G9" s="98">
        <v>0</v>
      </c>
      <c r="H9" s="98">
        <v>0</v>
      </c>
      <c r="I9" s="98">
        <v>0</v>
      </c>
      <c r="J9" s="98">
        <v>0</v>
      </c>
      <c r="K9" s="98">
        <v>0</v>
      </c>
      <c r="L9" s="19">
        <v>26</v>
      </c>
      <c r="M9" s="19">
        <v>13</v>
      </c>
      <c r="N9" s="98">
        <f>SUM(B9:M9)</f>
        <v>39</v>
      </c>
    </row>
    <row r="10" spans="1:14" x14ac:dyDescent="0.25">
      <c r="A10" s="101" t="s">
        <v>91</v>
      </c>
      <c r="B10" s="98">
        <v>71</v>
      </c>
      <c r="C10" s="98">
        <v>119</v>
      </c>
      <c r="D10" s="98">
        <v>125</v>
      </c>
      <c r="E10" s="98">
        <v>111</v>
      </c>
      <c r="F10" s="98">
        <v>50</v>
      </c>
      <c r="G10" s="98">
        <v>150</v>
      </c>
      <c r="H10" s="98">
        <v>107</v>
      </c>
      <c r="I10" s="98">
        <v>107</v>
      </c>
      <c r="J10" s="98">
        <f>19+7</f>
        <v>26</v>
      </c>
      <c r="K10" s="98">
        <f>10+21</f>
        <v>31</v>
      </c>
      <c r="L10" s="19">
        <f>58+7</f>
        <v>65</v>
      </c>
      <c r="M10" s="19">
        <f>1+85</f>
        <v>86</v>
      </c>
      <c r="N10" s="98">
        <f>SUM(B10:M10)</f>
        <v>1048</v>
      </c>
    </row>
    <row r="11" spans="1:14" x14ac:dyDescent="0.25">
      <c r="A11" s="103" t="s">
        <v>115</v>
      </c>
      <c r="B11" s="99">
        <v>0</v>
      </c>
      <c r="C11" s="99">
        <v>0</v>
      </c>
      <c r="D11" s="99">
        <v>36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99">
        <f>SUM(B11:M11)</f>
        <v>36</v>
      </c>
    </row>
    <row r="12" spans="1:14" x14ac:dyDescent="0.25">
      <c r="A12" s="102" t="s">
        <v>104</v>
      </c>
      <c r="B12" s="98">
        <v>45</v>
      </c>
      <c r="C12" s="98">
        <v>60</v>
      </c>
      <c r="D12" s="98">
        <v>117</v>
      </c>
      <c r="E12" s="98">
        <v>156</v>
      </c>
      <c r="F12" s="98">
        <v>84</v>
      </c>
      <c r="G12" s="98">
        <v>75</v>
      </c>
      <c r="H12" s="98">
        <v>86</v>
      </c>
      <c r="I12" s="98">
        <v>86</v>
      </c>
      <c r="J12" s="98">
        <v>147</v>
      </c>
      <c r="K12" s="98">
        <v>186</v>
      </c>
      <c r="L12" s="19">
        <v>63</v>
      </c>
      <c r="M12" s="19">
        <v>20</v>
      </c>
      <c r="N12" s="98">
        <f>SUM(B12:M12)</f>
        <v>1125</v>
      </c>
    </row>
    <row r="13" spans="1:14" x14ac:dyDescent="0.25">
      <c r="A13" s="101" t="s">
        <v>103</v>
      </c>
      <c r="B13" s="98">
        <v>28</v>
      </c>
      <c r="C13" s="98">
        <v>26</v>
      </c>
      <c r="D13" s="98">
        <v>4</v>
      </c>
      <c r="E13" s="98">
        <v>53</v>
      </c>
      <c r="F13" s="98">
        <v>17</v>
      </c>
      <c r="G13" s="98">
        <v>53</v>
      </c>
      <c r="H13" s="98">
        <v>57</v>
      </c>
      <c r="I13" s="98">
        <v>57</v>
      </c>
      <c r="J13" s="98">
        <v>77</v>
      </c>
      <c r="K13" s="98">
        <v>91</v>
      </c>
      <c r="L13" s="19">
        <v>40</v>
      </c>
      <c r="M13" s="19">
        <v>0</v>
      </c>
      <c r="N13" s="98">
        <f>SUM(B13:M13)</f>
        <v>503</v>
      </c>
    </row>
    <row r="14" spans="1:14" x14ac:dyDescent="0.25">
      <c r="A14" s="102" t="s">
        <v>117</v>
      </c>
      <c r="B14" s="98">
        <v>96</v>
      </c>
      <c r="C14" s="98">
        <v>126</v>
      </c>
      <c r="D14" s="98">
        <v>156</v>
      </c>
      <c r="E14" s="98">
        <v>137</v>
      </c>
      <c r="F14" s="98">
        <v>204</v>
      </c>
      <c r="G14" s="98">
        <v>126</v>
      </c>
      <c r="H14" s="98">
        <v>64</v>
      </c>
      <c r="I14" s="98">
        <v>64</v>
      </c>
      <c r="J14" s="98">
        <v>36</v>
      </c>
      <c r="K14" s="98">
        <v>156</v>
      </c>
      <c r="L14" s="19">
        <v>4</v>
      </c>
      <c r="M14" s="19">
        <v>48</v>
      </c>
      <c r="N14" s="98">
        <f>SUM(B14:M14)</f>
        <v>1217</v>
      </c>
    </row>
    <row r="15" spans="1:14" x14ac:dyDescent="0.25">
      <c r="A15" s="101" t="s">
        <v>92</v>
      </c>
      <c r="B15" s="98">
        <v>40</v>
      </c>
      <c r="C15" s="98">
        <v>226</v>
      </c>
      <c r="D15" s="98">
        <v>341</v>
      </c>
      <c r="E15" s="98">
        <v>0</v>
      </c>
      <c r="F15" s="98">
        <v>21</v>
      </c>
      <c r="G15" s="98">
        <v>65</v>
      </c>
      <c r="H15" s="98">
        <v>0</v>
      </c>
      <c r="I15" s="98">
        <v>0</v>
      </c>
      <c r="J15" s="98">
        <v>12</v>
      </c>
      <c r="K15" s="98">
        <f>17+11</f>
        <v>28</v>
      </c>
      <c r="L15" s="19">
        <f>33+14</f>
        <v>47</v>
      </c>
      <c r="M15" s="19">
        <v>9</v>
      </c>
      <c r="N15" s="98">
        <f>SUM(B15:M15)</f>
        <v>789</v>
      </c>
    </row>
    <row r="16" spans="1:14" x14ac:dyDescent="0.25">
      <c r="A16" s="101" t="s">
        <v>100</v>
      </c>
      <c r="B16" s="98">
        <v>0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46</v>
      </c>
      <c r="K16" s="98">
        <v>0</v>
      </c>
      <c r="L16" s="19">
        <v>10</v>
      </c>
      <c r="M16" s="19">
        <v>0</v>
      </c>
      <c r="N16" s="98">
        <f>SUM(B16:M16)</f>
        <v>56</v>
      </c>
    </row>
    <row r="17" spans="1:14" x14ac:dyDescent="0.25">
      <c r="A17" s="101" t="s">
        <v>97</v>
      </c>
      <c r="B17" s="98">
        <v>0</v>
      </c>
      <c r="C17" s="98">
        <v>0</v>
      </c>
      <c r="D17" s="98">
        <v>0</v>
      </c>
      <c r="E17" s="98">
        <v>0</v>
      </c>
      <c r="F17" s="98">
        <v>12</v>
      </c>
      <c r="G17" s="98">
        <v>0</v>
      </c>
      <c r="H17" s="98">
        <v>0</v>
      </c>
      <c r="I17" s="98">
        <v>0</v>
      </c>
      <c r="J17" s="98">
        <v>24</v>
      </c>
      <c r="K17" s="98">
        <v>26</v>
      </c>
      <c r="L17" s="19">
        <v>6</v>
      </c>
      <c r="M17" s="19">
        <v>25</v>
      </c>
      <c r="N17" s="98">
        <f>SUM(B17:M17)</f>
        <v>93</v>
      </c>
    </row>
    <row r="18" spans="1:14" x14ac:dyDescent="0.25">
      <c r="A18" s="102" t="s">
        <v>109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 s="98">
        <v>9</v>
      </c>
      <c r="I18" s="98">
        <v>9</v>
      </c>
      <c r="J18" s="98">
        <v>0</v>
      </c>
      <c r="K18" s="98">
        <v>0</v>
      </c>
      <c r="L18" s="19">
        <v>0</v>
      </c>
      <c r="M18" s="19">
        <v>0</v>
      </c>
      <c r="N18" s="98">
        <f>SUM(B18:M18)</f>
        <v>18</v>
      </c>
    </row>
    <row r="19" spans="1:14" x14ac:dyDescent="0.25">
      <c r="A19" s="101" t="s">
        <v>101</v>
      </c>
      <c r="B19" s="98">
        <v>258</v>
      </c>
      <c r="C19" s="98">
        <v>47</v>
      </c>
      <c r="D19" s="98">
        <v>363</v>
      </c>
      <c r="E19" s="98">
        <f>128+185</f>
        <v>313</v>
      </c>
      <c r="F19" s="98">
        <v>392</v>
      </c>
      <c r="G19" s="98">
        <v>0</v>
      </c>
      <c r="H19" s="98">
        <v>381</v>
      </c>
      <c r="I19" s="98">
        <v>391</v>
      </c>
      <c r="J19" s="98">
        <v>353</v>
      </c>
      <c r="K19" s="98">
        <v>291</v>
      </c>
      <c r="L19" s="19">
        <v>257</v>
      </c>
      <c r="M19" s="19">
        <v>304</v>
      </c>
      <c r="N19" s="98">
        <f>SUM(B19:M19)</f>
        <v>3350</v>
      </c>
    </row>
    <row r="20" spans="1:14" x14ac:dyDescent="0.25">
      <c r="A20" s="102" t="s">
        <v>113</v>
      </c>
      <c r="B20" s="19">
        <v>11</v>
      </c>
      <c r="C20" s="19">
        <v>28</v>
      </c>
      <c r="D20" s="19">
        <v>4</v>
      </c>
      <c r="E20" s="19">
        <v>17</v>
      </c>
      <c r="F20" s="19">
        <v>90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87</v>
      </c>
      <c r="N20" s="98">
        <f>SUM(B20:M20)</f>
        <v>237</v>
      </c>
    </row>
    <row r="21" spans="1:14" x14ac:dyDescent="0.25">
      <c r="A21" s="101" t="s">
        <v>98</v>
      </c>
      <c r="B21" s="98">
        <v>38</v>
      </c>
      <c r="C21" s="98">
        <v>106</v>
      </c>
      <c r="D21" s="98">
        <v>169</v>
      </c>
      <c r="E21" s="98">
        <v>120</v>
      </c>
      <c r="F21" s="98">
        <v>141</v>
      </c>
      <c r="G21" s="98">
        <v>0</v>
      </c>
      <c r="H21" s="98">
        <v>94</v>
      </c>
      <c r="I21" s="98">
        <v>94</v>
      </c>
      <c r="J21" s="98">
        <v>28</v>
      </c>
      <c r="K21" s="98">
        <v>85</v>
      </c>
      <c r="L21" s="19">
        <v>133</v>
      </c>
      <c r="M21" s="19">
        <v>56</v>
      </c>
      <c r="N21" s="98">
        <f>SUM(B21:M21)</f>
        <v>1064</v>
      </c>
    </row>
    <row r="22" spans="1:14" x14ac:dyDescent="0.25">
      <c r="A22" s="102" t="s">
        <v>110</v>
      </c>
      <c r="B22" s="98">
        <v>31</v>
      </c>
      <c r="C22" s="98">
        <v>23</v>
      </c>
      <c r="D22" s="98">
        <v>0</v>
      </c>
      <c r="E22" s="98">
        <v>10</v>
      </c>
      <c r="F22" s="98">
        <v>22</v>
      </c>
      <c r="G22" s="98">
        <v>80</v>
      </c>
      <c r="H22" s="98">
        <v>45</v>
      </c>
      <c r="I22" s="98">
        <v>45</v>
      </c>
      <c r="J22" s="98">
        <v>0</v>
      </c>
      <c r="K22" s="98">
        <v>0</v>
      </c>
      <c r="L22" s="19">
        <v>0</v>
      </c>
      <c r="M22" s="19">
        <v>0</v>
      </c>
      <c r="N22" s="98">
        <f>SUM(B22:M22)</f>
        <v>256</v>
      </c>
    </row>
    <row r="23" spans="1:14" x14ac:dyDescent="0.25">
      <c r="A23" s="102" t="s">
        <v>120</v>
      </c>
      <c r="B23" s="98">
        <v>411</v>
      </c>
      <c r="C23" s="98">
        <v>0</v>
      </c>
      <c r="D23" s="98">
        <v>14</v>
      </c>
      <c r="E23" s="98">
        <v>37</v>
      </c>
      <c r="F23" s="98">
        <v>40</v>
      </c>
      <c r="G23" s="98">
        <v>30</v>
      </c>
      <c r="H23" s="98">
        <v>70</v>
      </c>
      <c r="I23" s="98">
        <v>70</v>
      </c>
      <c r="J23" s="98">
        <v>32</v>
      </c>
      <c r="K23" s="98">
        <v>33</v>
      </c>
      <c r="L23" s="19">
        <v>42</v>
      </c>
      <c r="M23" s="19">
        <v>47</v>
      </c>
      <c r="N23" s="98">
        <f>SUM(B23:M23)</f>
        <v>826</v>
      </c>
    </row>
    <row r="24" spans="1:14" x14ac:dyDescent="0.25">
      <c r="A24" s="102" t="s">
        <v>108</v>
      </c>
      <c r="B24" s="98">
        <v>0</v>
      </c>
      <c r="C24" s="98">
        <v>18</v>
      </c>
      <c r="D24" s="98">
        <v>28</v>
      </c>
      <c r="E24" s="98">
        <v>8</v>
      </c>
      <c r="F24" s="98">
        <v>33</v>
      </c>
      <c r="G24" s="98">
        <v>0</v>
      </c>
      <c r="H24" s="98">
        <v>13</v>
      </c>
      <c r="I24" s="98">
        <v>13</v>
      </c>
      <c r="J24" s="98">
        <v>43</v>
      </c>
      <c r="K24" s="98">
        <v>132</v>
      </c>
      <c r="L24" s="19">
        <v>0</v>
      </c>
      <c r="M24" s="19">
        <v>0</v>
      </c>
      <c r="N24" s="98">
        <f>SUM(B24:M24)</f>
        <v>288</v>
      </c>
    </row>
    <row r="25" spans="1:14" x14ac:dyDescent="0.25">
      <c r="A25" s="102" t="s">
        <v>119</v>
      </c>
      <c r="B25" s="98">
        <v>108</v>
      </c>
      <c r="C25" s="98">
        <v>172</v>
      </c>
      <c r="D25" s="98">
        <v>168</v>
      </c>
      <c r="E25" s="98">
        <v>84</v>
      </c>
      <c r="F25" s="98">
        <v>138</v>
      </c>
      <c r="G25" s="98">
        <v>153</v>
      </c>
      <c r="H25" s="98">
        <v>105</v>
      </c>
      <c r="I25" s="98">
        <v>105</v>
      </c>
      <c r="J25" s="98">
        <v>32</v>
      </c>
      <c r="K25" s="98">
        <v>174</v>
      </c>
      <c r="L25" s="19">
        <v>23</v>
      </c>
      <c r="M25" s="19">
        <v>34</v>
      </c>
      <c r="N25" s="98">
        <f>SUM(B25:M25)</f>
        <v>1296</v>
      </c>
    </row>
    <row r="26" spans="1:14" x14ac:dyDescent="0.25">
      <c r="A26" s="102" t="s">
        <v>112</v>
      </c>
      <c r="B26" s="98">
        <v>6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 s="98">
        <v>0</v>
      </c>
      <c r="I26" s="98">
        <v>0</v>
      </c>
      <c r="J26" s="98">
        <v>0</v>
      </c>
      <c r="K26" s="98">
        <v>0</v>
      </c>
      <c r="L26" s="19">
        <v>0</v>
      </c>
      <c r="M26" s="19">
        <v>8</v>
      </c>
      <c r="N26" s="98">
        <f>SUM(B26:M26)</f>
        <v>14</v>
      </c>
    </row>
    <row r="27" spans="1:14" x14ac:dyDescent="0.25">
      <c r="A27" s="102" t="s">
        <v>116</v>
      </c>
      <c r="B27" s="98">
        <v>33</v>
      </c>
      <c r="C27" s="98">
        <v>124</v>
      </c>
      <c r="D27" s="98">
        <v>98</v>
      </c>
      <c r="E27" s="98">
        <f>86+41</f>
        <v>127</v>
      </c>
      <c r="F27" s="98">
        <f>169+172</f>
        <v>341</v>
      </c>
      <c r="G27" s="98">
        <v>104</v>
      </c>
      <c r="H27" s="98">
        <v>62</v>
      </c>
      <c r="I27" s="98">
        <v>82</v>
      </c>
      <c r="J27" s="98">
        <v>190</v>
      </c>
      <c r="K27" s="98">
        <v>169</v>
      </c>
      <c r="L27" s="19">
        <v>144</v>
      </c>
      <c r="M27" s="19">
        <f>174+32</f>
        <v>206</v>
      </c>
      <c r="N27" s="98">
        <f>SUM(B27:M27)</f>
        <v>1680</v>
      </c>
    </row>
    <row r="28" spans="1:14" x14ac:dyDescent="0.25">
      <c r="A28" s="103" t="s">
        <v>114</v>
      </c>
      <c r="B28" s="19">
        <v>0</v>
      </c>
      <c r="C28" s="19">
        <v>13</v>
      </c>
      <c r="D28" s="19"/>
      <c r="E28" s="19">
        <v>8</v>
      </c>
      <c r="F28" s="19">
        <v>49</v>
      </c>
      <c r="G28" s="19">
        <v>0</v>
      </c>
      <c r="H28" s="19">
        <v>0</v>
      </c>
      <c r="I28" s="19">
        <v>0</v>
      </c>
      <c r="J28" s="19">
        <v>27</v>
      </c>
      <c r="K28" s="19">
        <v>0</v>
      </c>
      <c r="L28" s="19">
        <v>0</v>
      </c>
      <c r="M28" s="19">
        <v>27</v>
      </c>
      <c r="N28" s="98">
        <f>SUM(B28:M28)</f>
        <v>124</v>
      </c>
    </row>
    <row r="29" spans="1:14" x14ac:dyDescent="0.25">
      <c r="A29" s="102" t="s">
        <v>111</v>
      </c>
      <c r="B29" s="98">
        <v>31</v>
      </c>
      <c r="C29" s="98">
        <v>0</v>
      </c>
      <c r="D29" s="98">
        <v>22</v>
      </c>
      <c r="E29" s="98">
        <v>16</v>
      </c>
      <c r="F29" s="98">
        <v>13</v>
      </c>
      <c r="G29" s="98">
        <v>0</v>
      </c>
      <c r="H29" s="98">
        <v>0</v>
      </c>
      <c r="I29" s="98">
        <v>0</v>
      </c>
      <c r="J29" s="98">
        <v>0</v>
      </c>
      <c r="K29" s="98">
        <v>0</v>
      </c>
      <c r="L29" s="19">
        <v>0</v>
      </c>
      <c r="M29" s="19">
        <v>23</v>
      </c>
      <c r="N29" s="98">
        <f>SUM(B29:M29)</f>
        <v>105</v>
      </c>
    </row>
    <row r="30" spans="1:14" x14ac:dyDescent="0.25">
      <c r="A30" s="101" t="s">
        <v>95</v>
      </c>
      <c r="B30" s="98">
        <v>45</v>
      </c>
      <c r="C30" s="98">
        <v>115</v>
      </c>
      <c r="D30" s="98">
        <v>17</v>
      </c>
      <c r="E30" s="98">
        <v>92</v>
      </c>
      <c r="F30" s="98">
        <f>11+173+16</f>
        <v>200</v>
      </c>
      <c r="G30" s="98">
        <f>60+497</f>
        <v>557</v>
      </c>
      <c r="H30" s="98">
        <v>32</v>
      </c>
      <c r="I30" s="98">
        <v>32</v>
      </c>
      <c r="J30" s="98">
        <f>60+147+12</f>
        <v>219</v>
      </c>
      <c r="K30" s="98">
        <f>7+24+94</f>
        <v>125</v>
      </c>
      <c r="L30" s="19">
        <f>65+12+11+62</f>
        <v>150</v>
      </c>
      <c r="M30" s="19">
        <f>4+40+52</f>
        <v>96</v>
      </c>
      <c r="N30" s="98">
        <f>SUM(B30:M30)</f>
        <v>1680</v>
      </c>
    </row>
    <row r="31" spans="1:14" x14ac:dyDescent="0.25">
      <c r="A31" s="102" t="s">
        <v>106</v>
      </c>
      <c r="B31" s="98">
        <v>0</v>
      </c>
      <c r="C31" s="98">
        <v>0</v>
      </c>
      <c r="D31" s="98">
        <v>0</v>
      </c>
      <c r="E31" s="98">
        <v>0</v>
      </c>
      <c r="F31" s="98">
        <v>9</v>
      </c>
      <c r="G31" s="98">
        <v>0</v>
      </c>
      <c r="H31" s="98">
        <v>0</v>
      </c>
      <c r="I31" s="98">
        <v>0</v>
      </c>
      <c r="J31" s="98">
        <v>4</v>
      </c>
      <c r="K31" s="98">
        <v>5</v>
      </c>
      <c r="L31" s="19">
        <v>0</v>
      </c>
      <c r="M31" s="19">
        <v>13</v>
      </c>
      <c r="N31" s="98">
        <f>SUM(B31:M31)</f>
        <v>31</v>
      </c>
    </row>
    <row r="32" spans="1:14" x14ac:dyDescent="0.25">
      <c r="A32" s="102" t="s">
        <v>118</v>
      </c>
      <c r="B32" s="98">
        <v>48</v>
      </c>
      <c r="C32" s="98">
        <v>16</v>
      </c>
      <c r="D32" s="98">
        <v>18</v>
      </c>
      <c r="E32" s="98">
        <v>43</v>
      </c>
      <c r="F32" s="98">
        <v>36</v>
      </c>
      <c r="G32" s="98">
        <v>35</v>
      </c>
      <c r="H32" s="98">
        <v>15</v>
      </c>
      <c r="I32" s="98">
        <v>15</v>
      </c>
      <c r="J32" s="98">
        <v>3</v>
      </c>
      <c r="K32" s="98">
        <v>12</v>
      </c>
      <c r="L32" s="19">
        <v>29</v>
      </c>
      <c r="M32" s="19">
        <v>10</v>
      </c>
      <c r="N32" s="98">
        <f>SUM(B32:M32)</f>
        <v>280</v>
      </c>
    </row>
    <row r="33" spans="1:14" x14ac:dyDescent="0.25">
      <c r="A33" s="101" t="s">
        <v>55</v>
      </c>
      <c r="B33" s="98">
        <v>0</v>
      </c>
      <c r="C33" s="98">
        <v>0</v>
      </c>
      <c r="D33" s="98">
        <v>16</v>
      </c>
      <c r="E33" s="98">
        <v>64</v>
      </c>
      <c r="F33" s="98">
        <f>74+81</f>
        <v>155</v>
      </c>
      <c r="G33" s="98">
        <v>0</v>
      </c>
      <c r="H33" s="98">
        <v>0</v>
      </c>
      <c r="I33" s="98">
        <v>0</v>
      </c>
      <c r="J33" s="98">
        <v>0</v>
      </c>
      <c r="K33" s="98">
        <v>0</v>
      </c>
      <c r="L33" s="19">
        <v>97</v>
      </c>
      <c r="M33" s="19">
        <v>67</v>
      </c>
      <c r="N33" s="98">
        <f>SUM(B33:M33)</f>
        <v>399</v>
      </c>
    </row>
  </sheetData>
  <sortState ref="A2:N33">
    <sortCondition ref="A2"/>
  </sortState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H27" sqref="H27"/>
    </sheetView>
  </sheetViews>
  <sheetFormatPr baseColWidth="10" defaultRowHeight="15" x14ac:dyDescent="0.25"/>
  <cols>
    <col min="11" max="14" width="11.42578125" style="9"/>
  </cols>
  <sheetData>
    <row r="1" spans="1:14" x14ac:dyDescent="0.25">
      <c r="A1" s="94">
        <v>2019</v>
      </c>
    </row>
    <row r="2" spans="1:14" ht="38.25" x14ac:dyDescent="0.25">
      <c r="A2" s="61" t="s">
        <v>57</v>
      </c>
      <c r="B2" s="62" t="s">
        <v>58</v>
      </c>
      <c r="C2" s="62" t="s">
        <v>59</v>
      </c>
      <c r="D2" s="62" t="s">
        <v>60</v>
      </c>
      <c r="E2" s="62" t="s">
        <v>61</v>
      </c>
      <c r="F2" s="62" t="s">
        <v>62</v>
      </c>
      <c r="G2" s="63" t="s">
        <v>63</v>
      </c>
      <c r="H2" s="62" t="s">
        <v>64</v>
      </c>
      <c r="I2" s="64" t="s">
        <v>65</v>
      </c>
    </row>
    <row r="3" spans="1:14" ht="15.75" thickBot="1" x14ac:dyDescent="0.3">
      <c r="A3" s="58" t="s">
        <v>66</v>
      </c>
      <c r="B3" s="58">
        <f>796+1960</f>
        <v>2756</v>
      </c>
      <c r="C3" s="58">
        <f>2073+676</f>
        <v>2749</v>
      </c>
      <c r="D3" s="58">
        <v>211</v>
      </c>
      <c r="E3" s="58">
        <v>2446</v>
      </c>
      <c r="F3" s="58">
        <v>2750</v>
      </c>
      <c r="G3" s="58">
        <v>336</v>
      </c>
      <c r="H3" s="58">
        <v>217</v>
      </c>
      <c r="I3" s="58">
        <f>SUM(B3:H3)</f>
        <v>11465</v>
      </c>
    </row>
    <row r="4" spans="1:14" x14ac:dyDescent="0.25">
      <c r="A4" s="58" t="s">
        <v>67</v>
      </c>
      <c r="B4" s="58">
        <f>684+1938</f>
        <v>2622</v>
      </c>
      <c r="C4" s="58">
        <f>2026+463</f>
        <v>2489</v>
      </c>
      <c r="D4" s="58">
        <v>144</v>
      </c>
      <c r="E4" s="58">
        <v>2278</v>
      </c>
      <c r="F4" s="58">
        <v>2549</v>
      </c>
      <c r="G4" s="58">
        <v>336</v>
      </c>
      <c r="H4" s="58">
        <v>196</v>
      </c>
      <c r="I4" s="58">
        <f t="shared" ref="I4:I14" si="0">SUM(B4:H4)</f>
        <v>10614</v>
      </c>
      <c r="K4" s="95" t="s">
        <v>68</v>
      </c>
      <c r="L4" s="11" t="s">
        <v>69</v>
      </c>
      <c r="M4" s="11" t="s">
        <v>70</v>
      </c>
      <c r="N4" s="12" t="s">
        <v>71</v>
      </c>
    </row>
    <row r="5" spans="1:14" x14ac:dyDescent="0.25">
      <c r="A5" s="58" t="s">
        <v>2</v>
      </c>
      <c r="B5" s="58">
        <f>839+2045</f>
        <v>2884</v>
      </c>
      <c r="C5" s="58">
        <f>2142+656</f>
        <v>2798</v>
      </c>
      <c r="D5" s="58">
        <v>186</v>
      </c>
      <c r="E5" s="58">
        <v>2431</v>
      </c>
      <c r="F5" s="58">
        <v>2806</v>
      </c>
      <c r="G5" s="58">
        <v>336</v>
      </c>
      <c r="H5" s="58">
        <v>217</v>
      </c>
      <c r="I5" s="58">
        <f t="shared" si="0"/>
        <v>11658</v>
      </c>
      <c r="K5" s="13">
        <v>2855</v>
      </c>
      <c r="L5" s="14">
        <v>2876</v>
      </c>
      <c r="M5" s="14">
        <v>2458</v>
      </c>
      <c r="N5" s="15">
        <v>2816</v>
      </c>
    </row>
    <row r="6" spans="1:14" x14ac:dyDescent="0.25">
      <c r="A6" s="58" t="s">
        <v>72</v>
      </c>
      <c r="B6" s="58">
        <f>795+1987</f>
        <v>2782</v>
      </c>
      <c r="C6" s="58">
        <f>2044+562</f>
        <v>2606</v>
      </c>
      <c r="D6" s="58">
        <v>191</v>
      </c>
      <c r="E6" s="58">
        <v>2374</v>
      </c>
      <c r="F6" s="58">
        <v>2538</v>
      </c>
      <c r="G6" s="58">
        <v>336</v>
      </c>
      <c r="H6" s="58">
        <v>217</v>
      </c>
      <c r="I6" s="58">
        <f t="shared" si="0"/>
        <v>11044</v>
      </c>
      <c r="K6" s="13">
        <v>2848</v>
      </c>
      <c r="L6" s="14">
        <v>2953</v>
      </c>
      <c r="M6" s="14">
        <v>2396</v>
      </c>
      <c r="N6" s="15">
        <v>2748</v>
      </c>
    </row>
    <row r="7" spans="1:14" ht="15.75" thickBot="1" x14ac:dyDescent="0.3">
      <c r="A7" s="58" t="s">
        <v>4</v>
      </c>
      <c r="B7" s="58">
        <f>930+1880</f>
        <v>2810</v>
      </c>
      <c r="C7" s="58">
        <f>2190+620</f>
        <v>2810</v>
      </c>
      <c r="D7" s="58">
        <v>161</v>
      </c>
      <c r="E7" s="58">
        <v>2810</v>
      </c>
      <c r="F7" s="58">
        <v>2810</v>
      </c>
      <c r="G7" s="58">
        <v>12</v>
      </c>
      <c r="H7" s="58">
        <v>217</v>
      </c>
      <c r="I7" s="58">
        <f t="shared" si="0"/>
        <v>11630</v>
      </c>
      <c r="K7" s="16">
        <v>2683</v>
      </c>
      <c r="L7" s="17">
        <v>2895</v>
      </c>
      <c r="M7" s="17">
        <v>2485</v>
      </c>
      <c r="N7" s="18">
        <v>2761</v>
      </c>
    </row>
    <row r="8" spans="1:14" x14ac:dyDescent="0.25">
      <c r="A8" s="58" t="s">
        <v>5</v>
      </c>
      <c r="B8" s="58">
        <f>987+1607</f>
        <v>2594</v>
      </c>
      <c r="C8" s="58">
        <f>B8</f>
        <v>2594</v>
      </c>
      <c r="D8" s="58">
        <v>148</v>
      </c>
      <c r="E8" s="58">
        <v>2594</v>
      </c>
      <c r="F8" s="58">
        <v>2594</v>
      </c>
      <c r="G8" s="58">
        <v>16</v>
      </c>
      <c r="H8" s="58">
        <v>210</v>
      </c>
      <c r="I8" s="58">
        <f t="shared" si="0"/>
        <v>10750</v>
      </c>
    </row>
    <row r="9" spans="1:14" x14ac:dyDescent="0.25">
      <c r="A9" s="58" t="s">
        <v>73</v>
      </c>
      <c r="B9" s="58">
        <f>1240+1550</f>
        <v>2790</v>
      </c>
      <c r="C9" s="58">
        <v>2790</v>
      </c>
      <c r="D9" s="58">
        <v>194</v>
      </c>
      <c r="E9" s="58">
        <v>2594</v>
      </c>
      <c r="F9" s="58">
        <v>2790</v>
      </c>
      <c r="G9" s="58">
        <v>336</v>
      </c>
      <c r="H9" s="58">
        <v>217</v>
      </c>
      <c r="I9" s="58">
        <f t="shared" si="0"/>
        <v>11711</v>
      </c>
    </row>
    <row r="10" spans="1:14" x14ac:dyDescent="0.25">
      <c r="A10" s="58" t="s">
        <v>74</v>
      </c>
      <c r="B10" s="60">
        <v>2876</v>
      </c>
      <c r="C10" s="60">
        <v>2816</v>
      </c>
      <c r="D10" s="65">
        <v>267</v>
      </c>
      <c r="E10" s="60">
        <v>2458</v>
      </c>
      <c r="F10">
        <v>2855</v>
      </c>
      <c r="G10" s="58">
        <v>336</v>
      </c>
      <c r="H10" s="58">
        <v>217</v>
      </c>
      <c r="I10" s="58">
        <f t="shared" si="0"/>
        <v>11825</v>
      </c>
    </row>
    <row r="11" spans="1:14" x14ac:dyDescent="0.25">
      <c r="A11" s="58" t="s">
        <v>75</v>
      </c>
      <c r="B11" s="66">
        <v>2953</v>
      </c>
      <c r="C11" s="65">
        <v>2748</v>
      </c>
      <c r="D11" s="66">
        <v>217</v>
      </c>
      <c r="E11" s="66">
        <v>2396</v>
      </c>
      <c r="F11" s="58">
        <v>2848</v>
      </c>
      <c r="G11" s="58">
        <v>40</v>
      </c>
      <c r="H11" s="58">
        <v>217</v>
      </c>
      <c r="I11" s="58">
        <f t="shared" si="0"/>
        <v>11419</v>
      </c>
    </row>
    <row r="12" spans="1:14" x14ac:dyDescent="0.25">
      <c r="A12" s="58" t="s">
        <v>76</v>
      </c>
      <c r="B12" s="67">
        <v>2895</v>
      </c>
      <c r="C12" s="58">
        <v>2761</v>
      </c>
      <c r="D12" s="58">
        <v>254</v>
      </c>
      <c r="E12" s="58">
        <v>2485</v>
      </c>
      <c r="F12" s="58">
        <v>2683</v>
      </c>
      <c r="G12" s="58">
        <v>336</v>
      </c>
      <c r="H12" s="58">
        <v>217</v>
      </c>
      <c r="I12" s="58">
        <f t="shared" si="0"/>
        <v>11631</v>
      </c>
    </row>
    <row r="13" spans="1:14" x14ac:dyDescent="0.25">
      <c r="A13" s="58" t="s">
        <v>77</v>
      </c>
      <c r="B13" s="58">
        <f>794+1817</f>
        <v>2611</v>
      </c>
      <c r="C13" s="58">
        <f>612+1917</f>
        <v>2529</v>
      </c>
      <c r="D13" s="58">
        <v>167</v>
      </c>
      <c r="E13" s="58">
        <v>1986</v>
      </c>
      <c r="F13" s="58">
        <v>2508</v>
      </c>
      <c r="G13" s="58">
        <v>336</v>
      </c>
      <c r="H13" s="58">
        <v>217</v>
      </c>
      <c r="I13" s="58">
        <f t="shared" si="0"/>
        <v>10354</v>
      </c>
    </row>
    <row r="14" spans="1:14" x14ac:dyDescent="0.25">
      <c r="A14" s="58" t="s">
        <v>78</v>
      </c>
      <c r="B14" s="58">
        <f>587+2212+103+72</f>
        <v>2974</v>
      </c>
      <c r="C14" s="58">
        <f>2212+338+87+94</f>
        <v>2731</v>
      </c>
      <c r="D14" s="58">
        <v>195</v>
      </c>
      <c r="E14" s="58">
        <v>2463</v>
      </c>
      <c r="F14" s="58">
        <v>2721</v>
      </c>
      <c r="G14" s="58">
        <v>250</v>
      </c>
      <c r="H14" s="58">
        <v>210</v>
      </c>
      <c r="I14" s="58">
        <f t="shared" si="0"/>
        <v>11544</v>
      </c>
    </row>
    <row r="15" spans="1:14" ht="39" x14ac:dyDescent="0.25">
      <c r="A15" s="68" t="s">
        <v>79</v>
      </c>
      <c r="B15" s="69">
        <f>SUM(B3:B14)</f>
        <v>33547</v>
      </c>
      <c r="C15" s="69">
        <f t="shared" ref="C15:H15" si="1">SUM(C3:C14)</f>
        <v>32421</v>
      </c>
      <c r="D15" s="69">
        <f>SUM(D3:D14)</f>
        <v>2335</v>
      </c>
      <c r="E15" s="69">
        <f t="shared" si="1"/>
        <v>29315</v>
      </c>
      <c r="F15" s="69">
        <f t="shared" si="1"/>
        <v>32452</v>
      </c>
      <c r="G15" s="69">
        <f t="shared" si="1"/>
        <v>3006</v>
      </c>
      <c r="H15" s="69">
        <f t="shared" si="1"/>
        <v>2569</v>
      </c>
      <c r="I15" s="70">
        <f>SUM(B15:H15)</f>
        <v>135645</v>
      </c>
    </row>
    <row r="18" spans="3:4" x14ac:dyDescent="0.25">
      <c r="C18" s="97">
        <v>2019</v>
      </c>
      <c r="D18" s="58"/>
    </row>
    <row r="19" spans="3:4" x14ac:dyDescent="0.25">
      <c r="C19" s="58" t="s">
        <v>80</v>
      </c>
      <c r="D19" s="59">
        <f>G15+H15</f>
        <v>5575</v>
      </c>
    </row>
    <row r="20" spans="3:4" x14ac:dyDescent="0.25">
      <c r="C20" s="58" t="s">
        <v>81</v>
      </c>
      <c r="D20" s="59">
        <f>D15</f>
        <v>2335</v>
      </c>
    </row>
    <row r="21" spans="3:4" x14ac:dyDescent="0.25">
      <c r="C21" s="58" t="s">
        <v>82</v>
      </c>
      <c r="D21" s="59">
        <f>B15+C15</f>
        <v>65968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opLeftCell="A8" workbookViewId="0"/>
  </sheetViews>
  <sheetFormatPr baseColWidth="10" defaultRowHeight="15" x14ac:dyDescent="0.25"/>
  <cols>
    <col min="1" max="1" width="18.5703125" customWidth="1"/>
  </cols>
  <sheetData>
    <row r="2" spans="1:12" x14ac:dyDescent="0.25">
      <c r="A2" s="93">
        <v>2022</v>
      </c>
    </row>
    <row r="3" spans="1:12" x14ac:dyDescent="0.25">
      <c r="A3" t="s">
        <v>19</v>
      </c>
    </row>
    <row r="4" spans="1:12" x14ac:dyDescent="0.25">
      <c r="A4" t="s">
        <v>20</v>
      </c>
      <c r="C4" t="s">
        <v>21</v>
      </c>
    </row>
    <row r="5" spans="1:12" x14ac:dyDescent="0.25">
      <c r="A5" s="52" t="s">
        <v>22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7" spans="1:12" ht="60" x14ac:dyDescent="0.25">
      <c r="A7" s="53" t="s">
        <v>23</v>
      </c>
      <c r="B7" s="53" t="s">
        <v>24</v>
      </c>
      <c r="C7" s="53" t="s">
        <v>25</v>
      </c>
      <c r="D7" s="53" t="s">
        <v>26</v>
      </c>
      <c r="E7" s="53" t="s">
        <v>27</v>
      </c>
      <c r="F7" s="53" t="s">
        <v>28</v>
      </c>
      <c r="G7" s="53" t="s">
        <v>29</v>
      </c>
      <c r="H7" s="53" t="s">
        <v>30</v>
      </c>
      <c r="I7" s="53" t="s">
        <v>31</v>
      </c>
      <c r="J7" s="53" t="s">
        <v>32</v>
      </c>
      <c r="K7" s="53" t="s">
        <v>33</v>
      </c>
      <c r="L7" s="53"/>
    </row>
    <row r="8" spans="1:12" x14ac:dyDescent="0.25">
      <c r="A8">
        <v>2022</v>
      </c>
      <c r="B8">
        <v>22882</v>
      </c>
      <c r="C8">
        <v>78822</v>
      </c>
      <c r="D8">
        <v>7834</v>
      </c>
      <c r="E8">
        <v>8971</v>
      </c>
      <c r="F8">
        <v>198</v>
      </c>
      <c r="G8">
        <v>243</v>
      </c>
      <c r="H8">
        <v>529</v>
      </c>
      <c r="I8">
        <v>1655</v>
      </c>
      <c r="J8">
        <v>0</v>
      </c>
      <c r="K8">
        <f>SUM(A8:J8)</f>
        <v>123156</v>
      </c>
    </row>
    <row r="9" spans="1:12" x14ac:dyDescent="0.25">
      <c r="A9" t="s">
        <v>34</v>
      </c>
      <c r="B9" s="54">
        <f>B8*100/K8</f>
        <v>18.579687550748645</v>
      </c>
      <c r="C9" s="54">
        <f>C8*100/K8</f>
        <v>64.001753873136508</v>
      </c>
      <c r="D9" s="54">
        <f>D8*100/K8</f>
        <v>6.3610380330637568</v>
      </c>
      <c r="E9" s="54">
        <f>E8*100/K8</f>
        <v>7.2842573646432172</v>
      </c>
      <c r="F9" s="54">
        <f>F8*100/K8</f>
        <v>0.16077170418006431</v>
      </c>
      <c r="G9" s="54">
        <f>G8*100/K8</f>
        <v>0.19731072785735165</v>
      </c>
      <c r="H9" s="54">
        <f>H8*100/K8</f>
        <v>0.4295365227841112</v>
      </c>
      <c r="I9" s="54">
        <f>I8*100/K8</f>
        <v>1.3438240930202345</v>
      </c>
      <c r="J9" s="54">
        <v>0</v>
      </c>
      <c r="K9" s="54">
        <f>+SUM(B9:J9)</f>
        <v>98.358179869433897</v>
      </c>
    </row>
    <row r="13" spans="1:12" x14ac:dyDescent="0.25">
      <c r="A13" t="s">
        <v>19</v>
      </c>
    </row>
    <row r="14" spans="1:12" x14ac:dyDescent="0.25">
      <c r="A14" t="s">
        <v>20</v>
      </c>
      <c r="D14" t="s">
        <v>21</v>
      </c>
    </row>
    <row r="15" spans="1:12" x14ac:dyDescent="0.25">
      <c r="A15" s="52" t="s">
        <v>22</v>
      </c>
      <c r="B15" s="52"/>
      <c r="C15" s="52"/>
      <c r="D15" s="52"/>
      <c r="E15" s="52"/>
      <c r="F15" s="52"/>
      <c r="G15" s="52"/>
      <c r="H15" s="52"/>
      <c r="I15" s="52"/>
      <c r="J15" s="52"/>
    </row>
    <row r="17" spans="1:12" ht="30" x14ac:dyDescent="0.25">
      <c r="A17" s="53" t="s">
        <v>35</v>
      </c>
      <c r="B17" s="53" t="s">
        <v>36</v>
      </c>
      <c r="C17" s="53" t="s">
        <v>37</v>
      </c>
      <c r="D17" s="53" t="s">
        <v>38</v>
      </c>
      <c r="E17" s="53" t="s">
        <v>39</v>
      </c>
      <c r="F17" s="53" t="s">
        <v>40</v>
      </c>
      <c r="G17" s="53" t="s">
        <v>41</v>
      </c>
      <c r="H17" s="53" t="s">
        <v>42</v>
      </c>
      <c r="I17" s="53" t="s">
        <v>33</v>
      </c>
      <c r="J17" s="53"/>
      <c r="K17" s="55"/>
      <c r="L17" s="55"/>
    </row>
    <row r="18" spans="1:12" x14ac:dyDescent="0.25">
      <c r="A18">
        <v>2022</v>
      </c>
      <c r="B18">
        <v>58512</v>
      </c>
      <c r="C18">
        <v>22889</v>
      </c>
      <c r="D18">
        <v>10035</v>
      </c>
      <c r="E18">
        <v>170</v>
      </c>
      <c r="F18">
        <v>20767</v>
      </c>
      <c r="G18">
        <v>7838</v>
      </c>
      <c r="H18">
        <v>983</v>
      </c>
      <c r="I18">
        <f>SUM(B18:H18)</f>
        <v>121194</v>
      </c>
    </row>
    <row r="19" spans="1:12" x14ac:dyDescent="0.25">
      <c r="A19" t="s">
        <v>34</v>
      </c>
      <c r="B19" s="56">
        <f>B18*100/I18</f>
        <v>48.27961780286153</v>
      </c>
      <c r="C19" s="56">
        <f>C18*100/I18</f>
        <v>18.886248494149875</v>
      </c>
      <c r="D19" s="56">
        <f>D18*100/I18</f>
        <v>8.2801128768750925</v>
      </c>
      <c r="E19" s="56">
        <f>E18*100/I18</f>
        <v>0.14027097051009127</v>
      </c>
      <c r="F19" s="56">
        <f>F18*100/I18</f>
        <v>17.135336732841559</v>
      </c>
      <c r="G19" s="56">
        <f>G18*100/I18</f>
        <v>6.4673168638711491</v>
      </c>
      <c r="H19" s="56">
        <f>H18*100/I18</f>
        <v>0.81109625889070414</v>
      </c>
      <c r="I19" s="56">
        <f>+SUM(B19:H19)</f>
        <v>99.999999999999986</v>
      </c>
    </row>
    <row r="22" spans="1:12" x14ac:dyDescent="0.25">
      <c r="A22" t="s">
        <v>90</v>
      </c>
    </row>
    <row r="23" spans="1:12" x14ac:dyDescent="0.25">
      <c r="A23" t="s">
        <v>89</v>
      </c>
      <c r="B23" s="93">
        <v>2019</v>
      </c>
      <c r="C23" s="96">
        <v>0.81</v>
      </c>
    </row>
    <row r="24" spans="1:12" x14ac:dyDescent="0.25">
      <c r="A24" s="96"/>
      <c r="B24" s="93">
        <v>2020</v>
      </c>
      <c r="C24" s="96">
        <v>0.81</v>
      </c>
    </row>
    <row r="25" spans="1:12" x14ac:dyDescent="0.25">
      <c r="B25" s="93">
        <v>2021</v>
      </c>
      <c r="C25" s="96">
        <v>0.83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LIS AUTORISES LE PRIEURE</vt:lpstr>
      <vt:lpstr>ACTIVITE 2019-2022</vt:lpstr>
      <vt:lpstr>2022</vt:lpstr>
      <vt:lpstr>2021</vt:lpstr>
      <vt:lpstr>2020</vt:lpstr>
      <vt:lpstr>supp 2022</vt:lpstr>
      <vt:lpstr>2019</vt:lpstr>
      <vt:lpstr>TYPE REPAS 2022-2019</vt:lpstr>
    </vt:vector>
  </TitlesOfParts>
  <Company>CNAMTS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ADN-AM-947501</dc:creator>
  <cp:lastModifiedBy>DEMBELE FATIMATA (UGECAM ILE DE FRANCE)</cp:lastModifiedBy>
  <cp:lastPrinted>2023-01-16T14:05:29Z</cp:lastPrinted>
  <dcterms:created xsi:type="dcterms:W3CDTF">2023-01-16T12:14:04Z</dcterms:created>
  <dcterms:modified xsi:type="dcterms:W3CDTF">2023-02-16T15:56:59Z</dcterms:modified>
</cp:coreProperties>
</file>